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115" yWindow="45" windowWidth="11355" windowHeight="12210" tabRatio="780"/>
  </bookViews>
  <sheets>
    <sheet name="Sieve Data" sheetId="3" r:id="rId1"/>
    <sheet name="Sieve Report" sheetId="9" r:id="rId2"/>
    <sheet name="Proctor Data" sheetId="7" r:id="rId3"/>
    <sheet name="Proctor Report" sheetId="2" r:id="rId4"/>
    <sheet name="Moisture Content" sheetId="8" r:id="rId5"/>
    <sheet name="Hydrometer" sheetId="4" r:id="rId6"/>
    <sheet name="Atterberg Limits" sheetId="5" r:id="rId7"/>
    <sheet name="Specs" sheetId="6" r:id="rId8"/>
  </sheets>
  <definedNames>
    <definedName name="CC">'Sieve Data'!$K$35</definedName>
    <definedName name="Clay">'Sieve Data'!$K$19</definedName>
    <definedName name="Coarse_Cummalitive">'Sieve Data'!$E$7</definedName>
    <definedName name="Crushed">'Sieve Data'!$K$20</definedName>
    <definedName name="CU">'Sieve Data'!$K$36</definedName>
    <definedName name="Dry_Density">'Proctor Report'!$G$14</definedName>
    <definedName name="Fineness_Modulus">'Sieve Data'!$K$30</definedName>
    <definedName name="Fines_Cumulative">'Sieve Data'!$E$30</definedName>
    <definedName name="Gravel">'Sieve Data'!$K$38</definedName>
    <definedName name="Liquid_Limit">'Sieve Data'!$K$26</definedName>
    <definedName name="Non_Plastic">'Sieve Data'!$K$24</definedName>
    <definedName name="OptMoist">'Proctor Report'!$I$14</definedName>
    <definedName name="Organic">'Sieve Data'!$K$17</definedName>
    <definedName name="Plastic_Limit">'Sieve Data'!$K$27</definedName>
    <definedName name="Plasticity_Index">'Sieve Data'!$K$28</definedName>
    <definedName name="_xlnm.Print_Area" localSheetId="6">'Atterberg Limits'!$A$2:$L$63</definedName>
    <definedName name="_xlnm.Print_Area" localSheetId="5">Hydrometer!$A$4:$J$31</definedName>
    <definedName name="_xlnm.Print_Area" localSheetId="3">'Proctor Report'!$A$1:$N$44</definedName>
    <definedName name="_xlnm.Print_Area" localSheetId="0">'Sieve Data'!$A$1:$L$51</definedName>
    <definedName name="_xlnm.Print_Area" localSheetId="1">'Sieve Report'!$A$1:$L$59</definedName>
    <definedName name="_xlnm.Print_Titles" localSheetId="7">Specs!$1:$2</definedName>
    <definedName name="Sand">'Sieve Data'!$K$39</definedName>
    <definedName name="Silt">'Sieve Data'!$K$18</definedName>
    <definedName name="Silt_Clay">'Sieve Data'!$K$40</definedName>
    <definedName name="Sp.Gr.">'Proctor Report'!$B$13</definedName>
    <definedName name="Split">'Sieve Data'!$E$3</definedName>
    <definedName name="Split_Percent">'Sieve Data'!$R$18</definedName>
    <definedName name="Split_Weight">'Sieve Data'!$D$31</definedName>
    <definedName name="Total_Weight">'Sieve Data'!$R$1</definedName>
  </definedNames>
  <calcPr calcId="114210" fullCalcOnLoad="1"/>
</workbook>
</file>

<file path=xl/calcChain.xml><?xml version="1.0" encoding="utf-8"?>
<calcChain xmlns="http://schemas.openxmlformats.org/spreadsheetml/2006/main">
  <c r="F4" i="7"/>
  <c r="C4"/>
  <c r="F3"/>
  <c r="C3"/>
  <c r="F2"/>
  <c r="C2"/>
  <c r="F1"/>
  <c r="C1"/>
  <c r="C4" i="5"/>
  <c r="C5"/>
  <c r="C3"/>
  <c r="C2"/>
  <c r="F3"/>
  <c r="F4"/>
  <c r="F5"/>
  <c r="F2"/>
  <c r="G2" i="4"/>
  <c r="G3"/>
  <c r="G4"/>
  <c r="G1"/>
  <c r="G2" i="2"/>
  <c r="G3"/>
  <c r="G4"/>
  <c r="G1"/>
  <c r="Q8" i="3"/>
  <c r="R8"/>
  <c r="D16"/>
  <c r="L4" i="2"/>
  <c r="D9" i="8"/>
  <c r="D10"/>
  <c r="D11"/>
  <c r="K44" i="3"/>
  <c r="O5" i="5"/>
  <c r="C14"/>
  <c r="C13"/>
  <c r="C15"/>
  <c r="D14"/>
  <c r="D13"/>
  <c r="D15"/>
  <c r="E14"/>
  <c r="E13"/>
  <c r="E15"/>
  <c r="M5" a="1"/>
  <c r="D19"/>
  <c r="C29"/>
  <c r="C28"/>
  <c r="C30"/>
  <c r="D29"/>
  <c r="D28"/>
  <c r="D30"/>
  <c r="E29"/>
  <c r="E28"/>
  <c r="E30"/>
  <c r="F30"/>
  <c r="G30"/>
  <c r="H30"/>
  <c r="D20"/>
  <c r="D21"/>
  <c r="K28" i="3"/>
  <c r="G38" i="9"/>
  <c r="K27" i="3"/>
  <c r="G37" i="9"/>
  <c r="K26" i="3"/>
  <c r="G36" i="9"/>
  <c r="Q3" i="3"/>
  <c r="R3"/>
  <c r="S3"/>
  <c r="T3"/>
  <c r="U3"/>
  <c r="V3"/>
  <c r="AA3"/>
  <c r="AB3"/>
  <c r="Q4"/>
  <c r="C28"/>
  <c r="R1"/>
  <c r="R4"/>
  <c r="S4"/>
  <c r="T4"/>
  <c r="U4"/>
  <c r="V4"/>
  <c r="AA4"/>
  <c r="AB4"/>
  <c r="Q5"/>
  <c r="R5"/>
  <c r="S5"/>
  <c r="T5"/>
  <c r="U5"/>
  <c r="V5"/>
  <c r="AA5"/>
  <c r="AB5"/>
  <c r="Q6"/>
  <c r="R6"/>
  <c r="S6"/>
  <c r="Q7"/>
  <c r="R7"/>
  <c r="S7"/>
  <c r="T6"/>
  <c r="U6"/>
  <c r="V6"/>
  <c r="AA6"/>
  <c r="AB6"/>
  <c r="T7"/>
  <c r="U7"/>
  <c r="V7"/>
  <c r="AA7"/>
  <c r="AB7"/>
  <c r="S8"/>
  <c r="Q9"/>
  <c r="R9"/>
  <c r="S9"/>
  <c r="T8"/>
  <c r="U8"/>
  <c r="V8"/>
  <c r="AA8"/>
  <c r="AB8"/>
  <c r="T9"/>
  <c r="U9"/>
  <c r="V9"/>
  <c r="AA9"/>
  <c r="AB9"/>
  <c r="Q10"/>
  <c r="R10"/>
  <c r="S10"/>
  <c r="Q11"/>
  <c r="R11"/>
  <c r="S11"/>
  <c r="T10"/>
  <c r="U10"/>
  <c r="V10"/>
  <c r="AA10"/>
  <c r="AB10"/>
  <c r="T11"/>
  <c r="U11"/>
  <c r="V11"/>
  <c r="AA11"/>
  <c r="AB11"/>
  <c r="Q12"/>
  <c r="R12"/>
  <c r="S12"/>
  <c r="Q13"/>
  <c r="R13"/>
  <c r="S13"/>
  <c r="T12"/>
  <c r="U12"/>
  <c r="V12"/>
  <c r="AA12"/>
  <c r="AB12"/>
  <c r="T13"/>
  <c r="U13"/>
  <c r="V13"/>
  <c r="AA13"/>
  <c r="AB13"/>
  <c r="Q14"/>
  <c r="R14"/>
  <c r="S14"/>
  <c r="T14"/>
  <c r="U14"/>
  <c r="V14"/>
  <c r="AA14"/>
  <c r="AB14"/>
  <c r="Q15"/>
  <c r="R15"/>
  <c r="S15"/>
  <c r="T15"/>
  <c r="U15"/>
  <c r="V15"/>
  <c r="AA15"/>
  <c r="AB15"/>
  <c r="Q16"/>
  <c r="R16"/>
  <c r="S16"/>
  <c r="T16"/>
  <c r="U16"/>
  <c r="V16"/>
  <c r="AA16"/>
  <c r="AB16"/>
  <c r="Q17"/>
  <c r="R17"/>
  <c r="S17"/>
  <c r="T17"/>
  <c r="U17"/>
  <c r="V17"/>
  <c r="AA17"/>
  <c r="AB17"/>
  <c r="Q18"/>
  <c r="R18"/>
  <c r="S18"/>
  <c r="T18"/>
  <c r="U18"/>
  <c r="V18"/>
  <c r="AA18"/>
  <c r="AB18"/>
  <c r="Q19"/>
  <c r="R19"/>
  <c r="S19"/>
  <c r="Q20"/>
  <c r="R20"/>
  <c r="S20"/>
  <c r="T19"/>
  <c r="U19"/>
  <c r="V19"/>
  <c r="Q21"/>
  <c r="R21"/>
  <c r="S21"/>
  <c r="T20"/>
  <c r="U20"/>
  <c r="V20"/>
  <c r="Q22"/>
  <c r="R22"/>
  <c r="S22"/>
  <c r="T21"/>
  <c r="U21"/>
  <c r="W20"/>
  <c r="V21"/>
  <c r="T22"/>
  <c r="U22"/>
  <c r="W21"/>
  <c r="Q23"/>
  <c r="R23"/>
  <c r="S23"/>
  <c r="V22"/>
  <c r="Q24"/>
  <c r="R24"/>
  <c r="S24"/>
  <c r="T23"/>
  <c r="U23"/>
  <c r="W22"/>
  <c r="V23"/>
  <c r="T24"/>
  <c r="U24"/>
  <c r="W23"/>
  <c r="Q25"/>
  <c r="R25"/>
  <c r="S25"/>
  <c r="V24"/>
  <c r="Q26"/>
  <c r="R26"/>
  <c r="S26"/>
  <c r="T25"/>
  <c r="U25"/>
  <c r="W24"/>
  <c r="V25"/>
  <c r="T26"/>
  <c r="U26"/>
  <c r="W25"/>
  <c r="Q27"/>
  <c r="R27"/>
  <c r="S27"/>
  <c r="V26"/>
  <c r="Q28"/>
  <c r="R28"/>
  <c r="S28"/>
  <c r="T27"/>
  <c r="U27"/>
  <c r="W26"/>
  <c r="V27"/>
  <c r="T28"/>
  <c r="U28"/>
  <c r="W27"/>
  <c r="Q29"/>
  <c r="R29"/>
  <c r="S29"/>
  <c r="V28"/>
  <c r="Q30"/>
  <c r="R30"/>
  <c r="S30"/>
  <c r="T29"/>
  <c r="U29"/>
  <c r="W28"/>
  <c r="V29"/>
  <c r="T30"/>
  <c r="U30"/>
  <c r="W29"/>
  <c r="Q31"/>
  <c r="R31"/>
  <c r="S31"/>
  <c r="V30"/>
  <c r="T31"/>
  <c r="U31"/>
  <c r="W30"/>
  <c r="V31"/>
  <c r="W31"/>
  <c r="W3"/>
  <c r="W4"/>
  <c r="W5"/>
  <c r="W6"/>
  <c r="W7"/>
  <c r="W8"/>
  <c r="W9"/>
  <c r="W10"/>
  <c r="W11"/>
  <c r="W12"/>
  <c r="W13"/>
  <c r="W14"/>
  <c r="W15"/>
  <c r="W16"/>
  <c r="W17"/>
  <c r="W18"/>
  <c r="W19"/>
  <c r="Z19"/>
  <c r="X3"/>
  <c r="X4"/>
  <c r="X5"/>
  <c r="X6"/>
  <c r="X7"/>
  <c r="X8"/>
  <c r="X9"/>
  <c r="X10"/>
  <c r="X11"/>
  <c r="X12"/>
  <c r="X13"/>
  <c r="X14"/>
  <c r="X15"/>
  <c r="X16"/>
  <c r="X17"/>
  <c r="X18"/>
  <c r="X19"/>
  <c r="X20"/>
  <c r="X21"/>
  <c r="X22"/>
  <c r="X23"/>
  <c r="X24"/>
  <c r="X25"/>
  <c r="X26"/>
  <c r="X27"/>
  <c r="X28"/>
  <c r="X29"/>
  <c r="X30"/>
  <c r="X31"/>
  <c r="Y19"/>
  <c r="AA19"/>
  <c r="AB19"/>
  <c r="Z20"/>
  <c r="Y20"/>
  <c r="AA20"/>
  <c r="AB20"/>
  <c r="Z21"/>
  <c r="Y21"/>
  <c r="AA21"/>
  <c r="AB21"/>
  <c r="Z22"/>
  <c r="Y22"/>
  <c r="AA22"/>
  <c r="AB22"/>
  <c r="Z23"/>
  <c r="Y23"/>
  <c r="AA23"/>
  <c r="AB23"/>
  <c r="Z24"/>
  <c r="Y24"/>
  <c r="AA24"/>
  <c r="AB24"/>
  <c r="Z25"/>
  <c r="Y25"/>
  <c r="AA25"/>
  <c r="AB25"/>
  <c r="Z26"/>
  <c r="Y26"/>
  <c r="AA26"/>
  <c r="AB26"/>
  <c r="Z27"/>
  <c r="Y27"/>
  <c r="AA27"/>
  <c r="AB27"/>
  <c r="Z28"/>
  <c r="Y28"/>
  <c r="AA28"/>
  <c r="AB28"/>
  <c r="Z29"/>
  <c r="Y29"/>
  <c r="AA29"/>
  <c r="AB29"/>
  <c r="Z30"/>
  <c r="Y30"/>
  <c r="AA30"/>
  <c r="AB30"/>
  <c r="Z31"/>
  <c r="Y31"/>
  <c r="AA31"/>
  <c r="AB31"/>
  <c r="AW8"/>
  <c r="P31"/>
  <c r="AX8"/>
  <c r="AN17"/>
  <c r="AN9"/>
  <c r="AN13"/>
  <c r="AN15"/>
  <c r="AN14"/>
  <c r="AN5"/>
  <c r="AN3"/>
  <c r="AN24"/>
  <c r="AN28"/>
  <c r="AN26"/>
  <c r="AN25"/>
  <c r="AN20"/>
  <c r="AN22"/>
  <c r="AN21"/>
  <c r="AW9"/>
  <c r="AX9"/>
  <c r="AX14"/>
  <c r="AY8"/>
  <c r="AY9"/>
  <c r="AY14"/>
  <c r="AW14"/>
  <c r="AX17"/>
  <c r="K34"/>
  <c r="AW4"/>
  <c r="AX4"/>
  <c r="AN16"/>
  <c r="AW5"/>
  <c r="AX5"/>
  <c r="AX12"/>
  <c r="AY4"/>
  <c r="AY5"/>
  <c r="AY12"/>
  <c r="AW12"/>
  <c r="AX15"/>
  <c r="K32"/>
  <c r="K36"/>
  <c r="G35" i="9"/>
  <c r="AW6" i="3"/>
  <c r="AX6"/>
  <c r="AN18"/>
  <c r="AN19"/>
  <c r="AW7"/>
  <c r="AX7"/>
  <c r="AX13"/>
  <c r="AY6"/>
  <c r="AY7"/>
  <c r="AY13"/>
  <c r="AW13"/>
  <c r="AX16"/>
  <c r="K33"/>
  <c r="K35"/>
  <c r="G34" i="9"/>
  <c r="G33"/>
  <c r="G32"/>
  <c r="G31"/>
  <c r="AR3" i="3"/>
  <c r="AP3"/>
  <c r="AR4"/>
  <c r="AP4"/>
  <c r="AR5"/>
  <c r="AP5"/>
  <c r="AR6"/>
  <c r="AP6"/>
  <c r="AR7"/>
  <c r="AP7"/>
  <c r="AR8"/>
  <c r="AP8"/>
  <c r="AR9"/>
  <c r="AP9"/>
  <c r="AR10"/>
  <c r="AP10"/>
  <c r="AR11"/>
  <c r="AP11"/>
  <c r="AR12"/>
  <c r="AP12"/>
  <c r="AR13"/>
  <c r="AP13"/>
  <c r="AR14"/>
  <c r="AP14"/>
  <c r="AR15"/>
  <c r="AP15"/>
  <c r="AR16"/>
  <c r="AP16"/>
  <c r="AR17"/>
  <c r="AP17"/>
  <c r="AR18"/>
  <c r="AP18"/>
  <c r="AR19"/>
  <c r="AP19"/>
  <c r="AR20"/>
  <c r="AP20"/>
  <c r="AR21"/>
  <c r="AP21"/>
  <c r="AR22"/>
  <c r="AP22"/>
  <c r="AR23"/>
  <c r="AP23"/>
  <c r="AR24"/>
  <c r="AP24"/>
  <c r="AR25"/>
  <c r="AP25"/>
  <c r="AR26"/>
  <c r="AP26"/>
  <c r="AR27"/>
  <c r="AP27"/>
  <c r="AR28"/>
  <c r="AP28"/>
  <c r="AR29"/>
  <c r="AP29"/>
  <c r="AR30"/>
  <c r="AP30"/>
  <c r="AR31"/>
  <c r="AP31"/>
  <c r="AS3"/>
  <c r="AS4"/>
  <c r="AT4"/>
  <c r="AS5"/>
  <c r="AT5"/>
  <c r="AS6"/>
  <c r="AT6"/>
  <c r="AS7"/>
  <c r="AT7"/>
  <c r="AS8"/>
  <c r="AT8"/>
  <c r="AS9"/>
  <c r="AT9"/>
  <c r="AS10"/>
  <c r="AT10"/>
  <c r="AS11"/>
  <c r="AT11"/>
  <c r="AS12"/>
  <c r="AT12"/>
  <c r="AS13"/>
  <c r="AT13"/>
  <c r="AS14"/>
  <c r="AT14"/>
  <c r="AS15"/>
  <c r="AT15"/>
  <c r="AS16"/>
  <c r="AT16"/>
  <c r="AS17"/>
  <c r="AT17"/>
  <c r="AS18"/>
  <c r="AT18"/>
  <c r="AS19"/>
  <c r="AT19"/>
  <c r="AS20"/>
  <c r="AT20"/>
  <c r="AS21"/>
  <c r="AT21"/>
  <c r="AS22"/>
  <c r="AT22"/>
  <c r="AS23"/>
  <c r="AT23"/>
  <c r="AS24"/>
  <c r="AT24"/>
  <c r="AS25"/>
  <c r="AT25"/>
  <c r="AS26"/>
  <c r="AT26"/>
  <c r="AS27"/>
  <c r="AT27"/>
  <c r="AS28"/>
  <c r="AT28"/>
  <c r="AS29"/>
  <c r="AT29"/>
  <c r="AS30"/>
  <c r="AT30"/>
  <c r="AS31"/>
  <c r="AT31"/>
  <c r="AT3"/>
  <c r="AU4"/>
  <c r="AU5"/>
  <c r="AU6"/>
  <c r="AU7"/>
  <c r="AU8"/>
  <c r="AU9"/>
  <c r="AU10"/>
  <c r="AU11"/>
  <c r="AU12"/>
  <c r="AU13"/>
  <c r="AU14"/>
  <c r="AU15"/>
  <c r="AU16"/>
  <c r="AU17"/>
  <c r="AU18"/>
  <c r="AU19"/>
  <c r="AU20"/>
  <c r="AU21"/>
  <c r="AU22"/>
  <c r="AU23"/>
  <c r="AU24"/>
  <c r="AU25"/>
  <c r="AU26"/>
  <c r="AU27"/>
  <c r="AU28"/>
  <c r="AU29"/>
  <c r="AU30"/>
  <c r="AU31"/>
  <c r="AU3"/>
  <c r="F3" i="6"/>
  <c r="AC1" i="3"/>
  <c r="AC3"/>
  <c r="F4" i="6"/>
  <c r="AC2" i="3"/>
  <c r="AD3"/>
  <c r="AE3"/>
  <c r="AF3"/>
  <c r="AC4"/>
  <c r="AD4"/>
  <c r="AE4"/>
  <c r="AF4"/>
  <c r="AC5"/>
  <c r="AD5"/>
  <c r="AE5"/>
  <c r="AF5"/>
  <c r="AC6"/>
  <c r="AD6"/>
  <c r="AE6"/>
  <c r="AF6"/>
  <c r="AC7"/>
  <c r="AD7"/>
  <c r="AE7"/>
  <c r="AF7"/>
  <c r="AC8"/>
  <c r="AD8"/>
  <c r="AE8"/>
  <c r="AF8"/>
  <c r="AC9"/>
  <c r="AD9"/>
  <c r="AE9"/>
  <c r="AF9"/>
  <c r="AC10"/>
  <c r="AD10"/>
  <c r="AE10"/>
  <c r="AF10"/>
  <c r="AC11"/>
  <c r="AD11"/>
  <c r="AE11"/>
  <c r="AF11"/>
  <c r="AC12"/>
  <c r="AD12"/>
  <c r="AE12"/>
  <c r="AF12"/>
  <c r="AC13"/>
  <c r="AD13"/>
  <c r="AE13"/>
  <c r="AF13"/>
  <c r="AC14"/>
  <c r="AD14"/>
  <c r="AE14"/>
  <c r="AF14"/>
  <c r="AC15"/>
  <c r="AD15"/>
  <c r="AE15"/>
  <c r="AF15"/>
  <c r="AC16"/>
  <c r="AD16"/>
  <c r="AE16"/>
  <c r="AF16"/>
  <c r="Z17"/>
  <c r="Y17"/>
  <c r="AC17"/>
  <c r="AD17"/>
  <c r="AE17"/>
  <c r="AF17"/>
  <c r="AC18"/>
  <c r="AD18"/>
  <c r="AE18"/>
  <c r="AF18"/>
  <c r="AC19"/>
  <c r="AD19"/>
  <c r="AE19"/>
  <c r="AF19"/>
  <c r="AC20"/>
  <c r="AD20"/>
  <c r="AE20"/>
  <c r="AF20"/>
  <c r="AC21"/>
  <c r="AD21"/>
  <c r="AE21"/>
  <c r="AF21"/>
  <c r="AC22"/>
  <c r="AD22"/>
  <c r="AE22"/>
  <c r="AF22"/>
  <c r="AC23"/>
  <c r="AD23"/>
  <c r="AE23"/>
  <c r="AF23"/>
  <c r="AC24"/>
  <c r="AD24"/>
  <c r="AE24"/>
  <c r="AF24"/>
  <c r="AC25"/>
  <c r="AD25"/>
  <c r="AE25"/>
  <c r="AF25"/>
  <c r="AC26"/>
  <c r="AD26"/>
  <c r="AE26"/>
  <c r="AF26"/>
  <c r="AC27"/>
  <c r="AD27"/>
  <c r="AE27"/>
  <c r="AF27"/>
  <c r="AC28"/>
  <c r="AD28"/>
  <c r="AE28"/>
  <c r="AF28"/>
  <c r="AC29"/>
  <c r="AD29"/>
  <c r="AE29"/>
  <c r="AF29"/>
  <c r="AC30"/>
  <c r="AD30"/>
  <c r="AE30"/>
  <c r="AF30"/>
  <c r="AC31"/>
  <c r="AD31"/>
  <c r="AE31"/>
  <c r="AF31"/>
  <c r="AG3"/>
  <c r="AG4"/>
  <c r="P4"/>
  <c r="AQ4"/>
  <c r="P5"/>
  <c r="AQ5"/>
  <c r="P6"/>
  <c r="AQ6"/>
  <c r="P7"/>
  <c r="AQ7"/>
  <c r="P8"/>
  <c r="AQ8"/>
  <c r="P9"/>
  <c r="AQ9"/>
  <c r="P10"/>
  <c r="AQ10"/>
  <c r="P11"/>
  <c r="AQ11"/>
  <c r="P12"/>
  <c r="AQ12"/>
  <c r="P13"/>
  <c r="AQ13"/>
  <c r="P14"/>
  <c r="AQ14"/>
  <c r="P15"/>
  <c r="AQ15"/>
  <c r="P16"/>
  <c r="AQ16"/>
  <c r="P17"/>
  <c r="AQ17"/>
  <c r="P18"/>
  <c r="AQ18"/>
  <c r="P19"/>
  <c r="AQ19"/>
  <c r="P20"/>
  <c r="AQ20"/>
  <c r="P21"/>
  <c r="AQ21"/>
  <c r="P22"/>
  <c r="AQ22"/>
  <c r="P23"/>
  <c r="AQ23"/>
  <c r="P24"/>
  <c r="AQ24"/>
  <c r="P25"/>
  <c r="AQ25"/>
  <c r="P26"/>
  <c r="AQ26"/>
  <c r="P27"/>
  <c r="AQ27"/>
  <c r="P28"/>
  <c r="AQ28"/>
  <c r="P29"/>
  <c r="AQ29"/>
  <c r="P30"/>
  <c r="AQ30"/>
  <c r="AQ31"/>
  <c r="P3"/>
  <c r="AQ3"/>
  <c r="F2" i="8"/>
  <c r="F3"/>
  <c r="F4"/>
  <c r="F1"/>
  <c r="D8" i="7"/>
  <c r="E8"/>
  <c r="F8"/>
  <c r="F9"/>
  <c r="F10"/>
  <c r="F15"/>
  <c r="F16"/>
  <c r="F17"/>
  <c r="F18"/>
  <c r="E17" i="2"/>
  <c r="E9" i="7"/>
  <c r="E10"/>
  <c r="E15"/>
  <c r="E16"/>
  <c r="E17"/>
  <c r="E18"/>
  <c r="E16" i="2"/>
  <c r="D9" i="7"/>
  <c r="D10"/>
  <c r="D15"/>
  <c r="D16"/>
  <c r="D17"/>
  <c r="D18"/>
  <c r="E15" i="2"/>
  <c r="C9" i="7"/>
  <c r="C10"/>
  <c r="C15"/>
  <c r="C16"/>
  <c r="C17"/>
  <c r="C18"/>
  <c r="E14" i="2"/>
  <c r="D17"/>
  <c r="D16"/>
  <c r="D15"/>
  <c r="D14"/>
  <c r="N33"/>
  <c r="M33"/>
  <c r="N32"/>
  <c r="M32"/>
  <c r="N31"/>
  <c r="M31"/>
  <c r="N30"/>
  <c r="M30"/>
  <c r="N29"/>
  <c r="M29"/>
  <c r="N28"/>
  <c r="M28"/>
  <c r="N27"/>
  <c r="M27"/>
  <c r="N26"/>
  <c r="M26"/>
  <c r="N25"/>
  <c r="M25"/>
  <c r="N24"/>
  <c r="M24"/>
  <c r="N23"/>
  <c r="M23"/>
  <c r="N22"/>
  <c r="M22"/>
  <c r="N21"/>
  <c r="M21"/>
  <c r="N20"/>
  <c r="M20"/>
  <c r="N19"/>
  <c r="M19"/>
  <c r="N18"/>
  <c r="M18"/>
  <c r="N17"/>
  <c r="M17"/>
  <c r="N16"/>
  <c r="M16"/>
  <c r="N15"/>
  <c r="M15"/>
  <c r="N14"/>
  <c r="M14"/>
  <c r="N13"/>
  <c r="M13"/>
  <c r="N12"/>
  <c r="M12"/>
  <c r="N11"/>
  <c r="M11"/>
  <c r="N10"/>
  <c r="M10"/>
  <c r="N9"/>
  <c r="M9"/>
  <c r="N8"/>
  <c r="M8"/>
  <c r="N7"/>
  <c r="M7"/>
  <c r="N6"/>
  <c r="M6"/>
  <c r="N5"/>
  <c r="M5"/>
  <c r="B34" i="9"/>
  <c r="B33"/>
  <c r="B32"/>
  <c r="B31"/>
  <c r="H49" i="3"/>
  <c r="G49"/>
  <c r="H48"/>
  <c r="G48"/>
  <c r="H47"/>
  <c r="G47"/>
  <c r="H46"/>
  <c r="G46"/>
  <c r="H45"/>
  <c r="G45"/>
  <c r="H44"/>
  <c r="G44"/>
  <c r="H43"/>
  <c r="G43"/>
  <c r="H42"/>
  <c r="G42"/>
  <c r="H41"/>
  <c r="G41"/>
  <c r="H40"/>
  <c r="G40"/>
  <c r="H39"/>
  <c r="G39"/>
  <c r="H38"/>
  <c r="G38"/>
  <c r="H37"/>
  <c r="G37"/>
  <c r="H26"/>
  <c r="G26"/>
  <c r="H25"/>
  <c r="G25"/>
  <c r="H24"/>
  <c r="G24"/>
  <c r="H23"/>
  <c r="G23"/>
  <c r="H22"/>
  <c r="G22"/>
  <c r="H21"/>
  <c r="G21"/>
  <c r="H20"/>
  <c r="G20"/>
  <c r="H19"/>
  <c r="G19"/>
  <c r="H18"/>
  <c r="G18"/>
  <c r="H17"/>
  <c r="G17"/>
  <c r="H16"/>
  <c r="G16"/>
  <c r="H15"/>
  <c r="G15"/>
  <c r="H14"/>
  <c r="G14"/>
  <c r="H13"/>
  <c r="G13"/>
  <c r="H12"/>
  <c r="G12"/>
  <c r="H11"/>
  <c r="G11"/>
  <c r="L56" i="9"/>
  <c r="K56"/>
  <c r="L55"/>
  <c r="K55"/>
  <c r="L54"/>
  <c r="K54"/>
  <c r="L53"/>
  <c r="K53"/>
  <c r="L52"/>
  <c r="K52"/>
  <c r="L51"/>
  <c r="K51"/>
  <c r="L50"/>
  <c r="K50"/>
  <c r="L49"/>
  <c r="K49"/>
  <c r="L48"/>
  <c r="K48"/>
  <c r="L47"/>
  <c r="K47"/>
  <c r="L46"/>
  <c r="K46"/>
  <c r="L45"/>
  <c r="K45"/>
  <c r="L44"/>
  <c r="K44"/>
  <c r="L43"/>
  <c r="F58"/>
  <c r="F57"/>
  <c r="F56"/>
  <c r="F55"/>
  <c r="F54"/>
  <c r="F53"/>
  <c r="F52"/>
  <c r="F51"/>
  <c r="F50"/>
  <c r="F49"/>
  <c r="F48"/>
  <c r="F47"/>
  <c r="F46"/>
  <c r="F45"/>
  <c r="F44"/>
  <c r="F43"/>
  <c r="K43"/>
  <c r="E58"/>
  <c r="E57"/>
  <c r="E56"/>
  <c r="E55"/>
  <c r="E54"/>
  <c r="E53"/>
  <c r="E52"/>
  <c r="E51"/>
  <c r="E50"/>
  <c r="E49"/>
  <c r="E48"/>
  <c r="E47"/>
  <c r="E46"/>
  <c r="E45"/>
  <c r="E44"/>
  <c r="E43"/>
  <c r="F49" i="3"/>
  <c r="K40"/>
  <c r="L36" i="9"/>
  <c r="F26" i="3"/>
  <c r="K39"/>
  <c r="L34" i="9"/>
  <c r="K38" i="3"/>
  <c r="L32" i="9"/>
  <c r="Z16" i="3"/>
  <c r="Y16"/>
  <c r="AF2"/>
  <c r="K9"/>
  <c r="K38" i="9"/>
  <c r="E3" i="6"/>
  <c r="AG1" i="3"/>
  <c r="H35" i="9"/>
  <c r="K30" i="3"/>
  <c r="H38" i="9"/>
  <c r="O19" i="3"/>
  <c r="G44" i="9"/>
  <c r="H44"/>
  <c r="I44"/>
  <c r="J44"/>
  <c r="O20" i="3"/>
  <c r="G45" i="9"/>
  <c r="H45"/>
  <c r="I45"/>
  <c r="J45"/>
  <c r="O21" i="3"/>
  <c r="G46" i="9"/>
  <c r="H46"/>
  <c r="I46"/>
  <c r="J46"/>
  <c r="O22" i="3"/>
  <c r="G47" i="9"/>
  <c r="H47"/>
  <c r="I47"/>
  <c r="J47"/>
  <c r="O23" i="3"/>
  <c r="G48" i="9"/>
  <c r="H48"/>
  <c r="I48"/>
  <c r="J48"/>
  <c r="O24" i="3"/>
  <c r="G49" i="9"/>
  <c r="H49"/>
  <c r="I49"/>
  <c r="J49"/>
  <c r="O25" i="3"/>
  <c r="G50" i="9"/>
  <c r="H50"/>
  <c r="I50"/>
  <c r="J50"/>
  <c r="O26" i="3"/>
  <c r="G51" i="9"/>
  <c r="H51"/>
  <c r="I51"/>
  <c r="J51"/>
  <c r="O27" i="3"/>
  <c r="G52" i="9"/>
  <c r="H52"/>
  <c r="I52"/>
  <c r="J52"/>
  <c r="O28" i="3"/>
  <c r="G53" i="9"/>
  <c r="H53"/>
  <c r="I53"/>
  <c r="J53"/>
  <c r="O29" i="3"/>
  <c r="G54" i="9"/>
  <c r="H54"/>
  <c r="I54"/>
  <c r="J54"/>
  <c r="O30" i="3"/>
  <c r="G55" i="9"/>
  <c r="H55"/>
  <c r="I55"/>
  <c r="J55"/>
  <c r="O31" i="3"/>
  <c r="G56" i="9"/>
  <c r="H56"/>
  <c r="I56"/>
  <c r="J56"/>
  <c r="J43"/>
  <c r="I43"/>
  <c r="C44"/>
  <c r="C45"/>
  <c r="C46"/>
  <c r="C47"/>
  <c r="C48"/>
  <c r="C49"/>
  <c r="C50"/>
  <c r="C51"/>
  <c r="C52"/>
  <c r="C53"/>
  <c r="C54"/>
  <c r="C55"/>
  <c r="C56"/>
  <c r="C57"/>
  <c r="C58"/>
  <c r="H43"/>
  <c r="O18" i="3"/>
  <c r="G43" i="9"/>
  <c r="B44"/>
  <c r="B45"/>
  <c r="B46"/>
  <c r="B47"/>
  <c r="B48"/>
  <c r="B49"/>
  <c r="B50"/>
  <c r="B51"/>
  <c r="B52"/>
  <c r="B53"/>
  <c r="B54"/>
  <c r="B55"/>
  <c r="B56"/>
  <c r="B57"/>
  <c r="B58"/>
  <c r="B43"/>
  <c r="D44"/>
  <c r="D45"/>
  <c r="D46"/>
  <c r="D47"/>
  <c r="D48"/>
  <c r="D49"/>
  <c r="D50"/>
  <c r="D51"/>
  <c r="D52"/>
  <c r="D53"/>
  <c r="D54"/>
  <c r="D55"/>
  <c r="D56"/>
  <c r="D57"/>
  <c r="D58"/>
  <c r="D43"/>
  <c r="C43"/>
  <c r="O4" i="3"/>
  <c r="A44" i="9"/>
  <c r="O5" i="3"/>
  <c r="A45" i="9"/>
  <c r="O6" i="3"/>
  <c r="A46" i="9"/>
  <c r="O7" i="3"/>
  <c r="A47" i="9"/>
  <c r="O8" i="3"/>
  <c r="A48" i="9"/>
  <c r="O9" i="3"/>
  <c r="A49" i="9"/>
  <c r="O10" i="3"/>
  <c r="A50" i="9"/>
  <c r="O11" i="3"/>
  <c r="A51" i="9"/>
  <c r="O12" i="3"/>
  <c r="A52" i="9"/>
  <c r="O13" i="3"/>
  <c r="A53" i="9"/>
  <c r="O14" i="3"/>
  <c r="A54" i="9"/>
  <c r="O15" i="3"/>
  <c r="A55" i="9"/>
  <c r="O16" i="3"/>
  <c r="A56" i="9"/>
  <c r="O17" i="3"/>
  <c r="A57" i="9"/>
  <c r="A58"/>
  <c r="O3" i="3"/>
  <c r="A43" i="9"/>
  <c r="AM24" i="3"/>
  <c r="AN11"/>
  <c r="AN12"/>
  <c r="AM13"/>
  <c r="AM19"/>
  <c r="R41"/>
  <c r="R42"/>
  <c r="R43"/>
  <c r="R44"/>
  <c r="R45"/>
  <c r="R46"/>
  <c r="R47"/>
  <c r="R48"/>
  <c r="R49"/>
  <c r="R50"/>
  <c r="R51"/>
  <c r="R52"/>
  <c r="R59"/>
  <c r="R60"/>
  <c r="R61"/>
  <c r="R62"/>
  <c r="R63"/>
  <c r="R64"/>
  <c r="R65"/>
  <c r="R66"/>
  <c r="R67"/>
  <c r="R68"/>
  <c r="R69"/>
  <c r="R70"/>
  <c r="R53"/>
  <c r="R54"/>
  <c r="R55"/>
  <c r="R56"/>
  <c r="R57"/>
  <c r="R58"/>
  <c r="R71"/>
  <c r="R72"/>
  <c r="R73"/>
  <c r="R74"/>
  <c r="R75"/>
  <c r="R76"/>
  <c r="R40"/>
  <c r="T33"/>
  <c r="S33"/>
  <c r="I13"/>
  <c r="H32" i="9"/>
  <c r="B36"/>
  <c r="B37"/>
  <c r="B38"/>
  <c r="B35"/>
  <c r="AN4" i="3"/>
  <c r="AO4"/>
  <c r="AO5"/>
  <c r="AN6"/>
  <c r="AO6"/>
  <c r="AN7"/>
  <c r="AO7"/>
  <c r="AN8"/>
  <c r="AO8"/>
  <c r="AO9"/>
  <c r="AN10"/>
  <c r="AO10"/>
  <c r="AO11"/>
  <c r="AO12"/>
  <c r="AO13"/>
  <c r="AO14"/>
  <c r="AO15"/>
  <c r="AO16"/>
  <c r="AO17"/>
  <c r="AO18"/>
  <c r="AO19"/>
  <c r="AO20"/>
  <c r="AO21"/>
  <c r="AO22"/>
  <c r="AN23"/>
  <c r="AO23"/>
  <c r="AO24"/>
  <c r="AO25"/>
  <c r="AO26"/>
  <c r="AN27"/>
  <c r="AO27"/>
  <c r="AO28"/>
  <c r="AN29"/>
  <c r="AO29"/>
  <c r="AN30"/>
  <c r="AO30"/>
  <c r="AN31"/>
  <c r="AO31"/>
  <c r="AO3"/>
  <c r="N3"/>
  <c r="N4"/>
  <c r="N5"/>
  <c r="N6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AH3"/>
  <c r="AH33"/>
  <c r="AI3"/>
  <c r="AI33"/>
  <c r="AJ3"/>
  <c r="AJ33"/>
  <c r="AH4"/>
  <c r="AH34"/>
  <c r="AI4"/>
  <c r="AI34"/>
  <c r="AJ4"/>
  <c r="AJ34"/>
  <c r="AG5"/>
  <c r="AH5"/>
  <c r="AH35"/>
  <c r="AI5"/>
  <c r="AI35"/>
  <c r="AJ5"/>
  <c r="AJ35"/>
  <c r="AG6"/>
  <c r="AH6"/>
  <c r="AH36"/>
  <c r="AI6"/>
  <c r="AI36"/>
  <c r="AJ6"/>
  <c r="AJ36"/>
  <c r="AG7"/>
  <c r="AH7"/>
  <c r="AH37"/>
  <c r="AI7"/>
  <c r="AI37"/>
  <c r="AJ7"/>
  <c r="AJ37"/>
  <c r="AG8"/>
  <c r="AH8"/>
  <c r="AH38"/>
  <c r="AI8"/>
  <c r="AI38"/>
  <c r="AJ8"/>
  <c r="AJ38"/>
  <c r="AG9"/>
  <c r="AH9"/>
  <c r="AH39"/>
  <c r="AI9"/>
  <c r="AI39"/>
  <c r="AJ9"/>
  <c r="AJ39"/>
  <c r="AG10"/>
  <c r="AH10"/>
  <c r="AH40"/>
  <c r="AI10"/>
  <c r="AI40"/>
  <c r="AJ10"/>
  <c r="AJ40"/>
  <c r="AG11"/>
  <c r="AH11"/>
  <c r="AH41"/>
  <c r="AI11"/>
  <c r="AI41"/>
  <c r="AJ11"/>
  <c r="AJ41"/>
  <c r="AG12"/>
  <c r="AH12"/>
  <c r="AH42"/>
  <c r="AI12"/>
  <c r="AI42"/>
  <c r="AJ12"/>
  <c r="AJ42"/>
  <c r="AG13"/>
  <c r="AH13"/>
  <c r="AH43"/>
  <c r="AI13"/>
  <c r="AI43"/>
  <c r="AJ13"/>
  <c r="AJ43"/>
  <c r="AG14"/>
  <c r="AH14"/>
  <c r="AH44"/>
  <c r="AI14"/>
  <c r="AI44"/>
  <c r="AJ14"/>
  <c r="AJ44"/>
  <c r="AG15"/>
  <c r="AH15"/>
  <c r="AH45"/>
  <c r="AI15"/>
  <c r="AI45"/>
  <c r="AJ15"/>
  <c r="AJ45"/>
  <c r="AG16"/>
  <c r="AH16"/>
  <c r="AH46"/>
  <c r="AI16"/>
  <c r="AI46"/>
  <c r="AJ16"/>
  <c r="AJ46"/>
  <c r="AG17"/>
  <c r="AH17"/>
  <c r="AH47"/>
  <c r="AI17"/>
  <c r="AI47"/>
  <c r="AJ17"/>
  <c r="AJ47"/>
  <c r="AG18"/>
  <c r="AH18"/>
  <c r="AH48"/>
  <c r="AI18"/>
  <c r="AI48"/>
  <c r="AJ18"/>
  <c r="AJ48"/>
  <c r="AG19"/>
  <c r="AH19"/>
  <c r="AH49"/>
  <c r="AI19"/>
  <c r="AI49"/>
  <c r="AJ19"/>
  <c r="AJ49"/>
  <c r="AG20"/>
  <c r="AH20"/>
  <c r="AH50"/>
  <c r="AI20"/>
  <c r="AI50"/>
  <c r="AJ20"/>
  <c r="AJ50"/>
  <c r="AG21"/>
  <c r="AH21"/>
  <c r="AH51"/>
  <c r="AI21"/>
  <c r="AI51"/>
  <c r="AJ21"/>
  <c r="AJ51"/>
  <c r="AG22"/>
  <c r="AH22"/>
  <c r="AH52"/>
  <c r="AI22"/>
  <c r="AI52"/>
  <c r="AJ22"/>
  <c r="AJ52"/>
  <c r="AG23"/>
  <c r="AH23"/>
  <c r="AH53"/>
  <c r="AI23"/>
  <c r="AI53"/>
  <c r="AJ23"/>
  <c r="AJ53"/>
  <c r="AG24"/>
  <c r="AH24"/>
  <c r="AH54"/>
  <c r="AI24"/>
  <c r="AI54"/>
  <c r="AJ24"/>
  <c r="AJ54"/>
  <c r="AG25"/>
  <c r="AH25"/>
  <c r="AH55"/>
  <c r="AI25"/>
  <c r="AI55"/>
  <c r="AJ25"/>
  <c r="AJ55"/>
  <c r="AG26"/>
  <c r="AH26"/>
  <c r="AH56"/>
  <c r="AI26"/>
  <c r="AI56"/>
  <c r="AJ26"/>
  <c r="AJ56"/>
  <c r="AG27"/>
  <c r="AH27"/>
  <c r="AH57"/>
  <c r="AI27"/>
  <c r="AI57"/>
  <c r="AJ27"/>
  <c r="AJ57"/>
  <c r="AG28"/>
  <c r="AH28"/>
  <c r="AH58"/>
  <c r="AI28"/>
  <c r="AI58"/>
  <c r="AJ28"/>
  <c r="AJ58"/>
  <c r="AG29"/>
  <c r="AH29"/>
  <c r="AH59"/>
  <c r="AI29"/>
  <c r="AI59"/>
  <c r="AJ29"/>
  <c r="AJ59"/>
  <c r="AG30"/>
  <c r="AH30"/>
  <c r="AH60"/>
  <c r="AI30"/>
  <c r="AI60"/>
  <c r="AJ30"/>
  <c r="AJ60"/>
  <c r="AG31"/>
  <c r="AH31"/>
  <c r="AH61"/>
  <c r="AI31"/>
  <c r="AI61"/>
  <c r="AJ31"/>
  <c r="AJ61"/>
  <c r="M8" i="5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P41"/>
  <c r="M42"/>
  <c r="P42"/>
  <c r="M43"/>
  <c r="P43"/>
  <c r="M44"/>
  <c r="P44"/>
  <c r="M45"/>
  <c r="P45"/>
  <c r="M46"/>
  <c r="P46"/>
  <c r="M47"/>
  <c r="P47"/>
  <c r="M48"/>
  <c r="P48"/>
  <c r="M49"/>
  <c r="P49"/>
  <c r="M50"/>
  <c r="P50"/>
  <c r="M51"/>
  <c r="P51"/>
  <c r="M52"/>
  <c r="P52"/>
  <c r="M53"/>
  <c r="P53"/>
  <c r="M54"/>
  <c r="P54"/>
  <c r="M55"/>
  <c r="P55"/>
  <c r="M56"/>
  <c r="P56"/>
  <c r="M57"/>
  <c r="P57"/>
  <c r="M58"/>
  <c r="P58"/>
  <c r="M59"/>
  <c r="P59"/>
  <c r="M60"/>
  <c r="P60"/>
  <c r="M61"/>
  <c r="P61"/>
  <c r="M62"/>
  <c r="P62"/>
  <c r="M63"/>
  <c r="P63"/>
  <c r="M64"/>
  <c r="P64"/>
  <c r="M65"/>
  <c r="P65"/>
  <c r="M66"/>
  <c r="P66"/>
  <c r="M67"/>
  <c r="P67"/>
  <c r="M68"/>
  <c r="P68"/>
  <c r="M69"/>
  <c r="P69"/>
  <c r="M70"/>
  <c r="P70"/>
  <c r="M71"/>
  <c r="P71"/>
  <c r="M72"/>
  <c r="P72"/>
  <c r="M73"/>
  <c r="P73"/>
  <c r="M74"/>
  <c r="P74"/>
  <c r="M75"/>
  <c r="P75"/>
  <c r="M76"/>
  <c r="P76"/>
  <c r="M77"/>
  <c r="P77"/>
  <c r="M78"/>
  <c r="P78"/>
  <c r="M79"/>
  <c r="P79"/>
  <c r="M80"/>
  <c r="P80"/>
  <c r="M81"/>
  <c r="P81"/>
  <c r="M82"/>
  <c r="P82"/>
  <c r="M83"/>
  <c r="P83"/>
  <c r="M84"/>
  <c r="P84"/>
  <c r="M85"/>
  <c r="P85"/>
  <c r="M86"/>
  <c r="P86"/>
  <c r="M87"/>
  <c r="P87"/>
  <c r="M88"/>
  <c r="P88"/>
  <c r="M89"/>
  <c r="P89"/>
  <c r="M90"/>
  <c r="P90"/>
  <c r="M91"/>
  <c r="P91"/>
  <c r="M92"/>
  <c r="P92"/>
  <c r="M93"/>
  <c r="P93"/>
  <c r="M94"/>
  <c r="P94"/>
  <c r="M95"/>
  <c r="P95"/>
  <c r="M96"/>
  <c r="P96"/>
  <c r="M97"/>
  <c r="P97"/>
  <c r="M98"/>
  <c r="P98"/>
  <c r="M99"/>
  <c r="P99"/>
  <c r="M100"/>
  <c r="P100"/>
  <c r="M101"/>
  <c r="P101"/>
  <c r="M102"/>
  <c r="P102"/>
  <c r="M103"/>
  <c r="P103"/>
  <c r="M104"/>
  <c r="P104"/>
  <c r="M105"/>
  <c r="P105"/>
  <c r="M106"/>
  <c r="P106"/>
  <c r="M107"/>
  <c r="P107"/>
  <c r="M108"/>
  <c r="P108"/>
  <c r="M109"/>
  <c r="P109"/>
  <c r="M110"/>
  <c r="P110"/>
  <c r="M111"/>
  <c r="P111"/>
  <c r="M112"/>
  <c r="P112"/>
  <c r="M113"/>
  <c r="P113"/>
  <c r="M114"/>
  <c r="P114"/>
  <c r="M115"/>
  <c r="P115"/>
  <c r="M116"/>
  <c r="P116"/>
  <c r="M117"/>
  <c r="P117"/>
  <c r="M118"/>
  <c r="P118"/>
  <c r="M119"/>
  <c r="P119"/>
  <c r="M120"/>
  <c r="P120"/>
  <c r="M121"/>
  <c r="P121"/>
  <c r="M122"/>
  <c r="P122"/>
  <c r="M123"/>
  <c r="P123"/>
  <c r="M124"/>
  <c r="P124"/>
  <c r="M125"/>
  <c r="P125"/>
  <c r="M126"/>
  <c r="P126"/>
  <c r="M127"/>
  <c r="P127"/>
  <c r="M128"/>
  <c r="P128"/>
  <c r="M129"/>
  <c r="P129"/>
  <c r="M130"/>
  <c r="P130"/>
  <c r="M131"/>
  <c r="P131"/>
  <c r="M132"/>
  <c r="P132"/>
  <c r="M133"/>
  <c r="P133"/>
  <c r="M134"/>
  <c r="P134"/>
  <c r="M135"/>
  <c r="P135"/>
  <c r="M136"/>
  <c r="P136"/>
  <c r="M137"/>
  <c r="P137"/>
  <c r="M138"/>
  <c r="P138"/>
  <c r="M139"/>
  <c r="P139"/>
  <c r="M140"/>
  <c r="P140"/>
  <c r="M141"/>
  <c r="P141"/>
  <c r="M142"/>
  <c r="P142"/>
  <c r="M143"/>
  <c r="P143"/>
  <c r="M144"/>
  <c r="P144"/>
  <c r="M145"/>
  <c r="P145"/>
  <c r="M146"/>
  <c r="P146"/>
  <c r="M147"/>
  <c r="P147"/>
  <c r="M148"/>
  <c r="P148"/>
  <c r="M149"/>
  <c r="P149"/>
  <c r="M150"/>
  <c r="P150"/>
  <c r="M151"/>
  <c r="P151"/>
  <c r="M152"/>
  <c r="P152"/>
  <c r="M153"/>
  <c r="P153"/>
  <c r="M154"/>
  <c r="P154"/>
  <c r="M155"/>
  <c r="P155"/>
  <c r="M156"/>
  <c r="P156"/>
  <c r="M157"/>
  <c r="P157"/>
  <c r="M158"/>
  <c r="P158"/>
  <c r="M159"/>
  <c r="P159"/>
  <c r="M160"/>
  <c r="P160"/>
  <c r="M161"/>
  <c r="P161"/>
  <c r="M162"/>
  <c r="P162"/>
  <c r="M163"/>
  <c r="P163"/>
  <c r="M164"/>
  <c r="P164"/>
  <c r="M165"/>
  <c r="P165"/>
  <c r="M166"/>
  <c r="P166"/>
  <c r="M167"/>
  <c r="P167"/>
  <c r="M168"/>
  <c r="P168"/>
  <c r="M169"/>
  <c r="P169"/>
  <c r="M170"/>
  <c r="P170"/>
  <c r="M171"/>
  <c r="P171"/>
  <c r="M172"/>
  <c r="P172"/>
  <c r="M173"/>
  <c r="P173"/>
  <c r="M174"/>
  <c r="P174"/>
  <c r="M175"/>
  <c r="P175"/>
  <c r="M176"/>
  <c r="P176"/>
  <c r="M177"/>
  <c r="P177"/>
  <c r="M178"/>
  <c r="P178"/>
  <c r="M179"/>
  <c r="P179"/>
  <c r="M180"/>
  <c r="P180"/>
  <c r="M181"/>
  <c r="P181"/>
  <c r="M182"/>
  <c r="P182"/>
  <c r="M183"/>
  <c r="P183"/>
  <c r="M184"/>
  <c r="P184"/>
  <c r="M185"/>
  <c r="P185"/>
  <c r="M186"/>
  <c r="P186"/>
  <c r="M187"/>
  <c r="P187"/>
  <c r="M188"/>
  <c r="P188"/>
  <c r="M189"/>
  <c r="P189"/>
  <c r="M190"/>
  <c r="P190"/>
  <c r="M191"/>
  <c r="P191"/>
  <c r="M192"/>
  <c r="P192"/>
  <c r="M193"/>
  <c r="P193"/>
  <c r="M194"/>
  <c r="P194"/>
  <c r="M195"/>
  <c r="P195"/>
  <c r="M196"/>
  <c r="P196"/>
  <c r="M197"/>
  <c r="P197"/>
  <c r="M198"/>
  <c r="P198"/>
  <c r="M199"/>
  <c r="P199"/>
  <c r="M200"/>
  <c r="P200"/>
  <c r="M201"/>
  <c r="P201"/>
  <c r="M202"/>
  <c r="P202"/>
  <c r="M203"/>
  <c r="P203"/>
  <c r="M204"/>
  <c r="P204"/>
  <c r="M205"/>
  <c r="P205"/>
  <c r="M206"/>
  <c r="P206"/>
  <c r="M207"/>
  <c r="P207"/>
  <c r="M208"/>
  <c r="P208"/>
  <c r="M209"/>
  <c r="P209"/>
  <c r="M210"/>
  <c r="P210"/>
  <c r="M211"/>
  <c r="P211"/>
  <c r="M212"/>
  <c r="P212"/>
  <c r="M213"/>
  <c r="P213"/>
  <c r="M214"/>
  <c r="P214"/>
  <c r="M215"/>
  <c r="P215"/>
  <c r="M216"/>
  <c r="P216"/>
  <c r="M217"/>
  <c r="P217"/>
  <c r="M218"/>
  <c r="P218"/>
  <c r="M219"/>
  <c r="P219"/>
  <c r="M220"/>
  <c r="P220"/>
  <c r="M221"/>
  <c r="P221"/>
  <c r="M222"/>
  <c r="P222"/>
  <c r="M223"/>
  <c r="P223"/>
  <c r="M224"/>
  <c r="P224"/>
  <c r="M225"/>
  <c r="P225"/>
  <c r="M226"/>
  <c r="P226"/>
  <c r="M227"/>
  <c r="P227"/>
  <c r="P40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107"/>
  <c r="O108"/>
  <c r="O109"/>
  <c r="O110"/>
  <c r="O111"/>
  <c r="O112"/>
  <c r="O113"/>
  <c r="O114"/>
  <c r="O115"/>
  <c r="O116"/>
  <c r="O117"/>
  <c r="O118"/>
  <c r="O119"/>
  <c r="O120"/>
  <c r="O121"/>
  <c r="O122"/>
  <c r="O123"/>
  <c r="O124"/>
  <c r="O125"/>
  <c r="O126"/>
  <c r="O127"/>
  <c r="O128"/>
  <c r="O129"/>
  <c r="O130"/>
  <c r="O131"/>
  <c r="O132"/>
  <c r="O133"/>
  <c r="O134"/>
  <c r="O135"/>
  <c r="O136"/>
  <c r="O137"/>
  <c r="O138"/>
  <c r="O139"/>
  <c r="O140"/>
  <c r="O141"/>
  <c r="O142"/>
  <c r="O143"/>
  <c r="O144"/>
  <c r="O145"/>
  <c r="O146"/>
  <c r="O147"/>
  <c r="O148"/>
  <c r="O149"/>
  <c r="O150"/>
  <c r="O151"/>
  <c r="O152"/>
  <c r="O153"/>
  <c r="O154"/>
  <c r="O155"/>
  <c r="O156"/>
  <c r="O157"/>
  <c r="O158"/>
  <c r="O159"/>
  <c r="O160"/>
  <c r="O161"/>
  <c r="O162"/>
  <c r="O163"/>
  <c r="O164"/>
  <c r="O165"/>
  <c r="O166"/>
  <c r="O167"/>
  <c r="O168"/>
  <c r="O169"/>
  <c r="O170"/>
  <c r="O171"/>
  <c r="O172"/>
  <c r="O173"/>
  <c r="O174"/>
  <c r="O175"/>
  <c r="O176"/>
  <c r="O177"/>
  <c r="O178"/>
  <c r="O179"/>
  <c r="O180"/>
  <c r="O181"/>
  <c r="O182"/>
  <c r="O183"/>
  <c r="O184"/>
  <c r="O185"/>
  <c r="O186"/>
  <c r="O187"/>
  <c r="O188"/>
  <c r="O189"/>
  <c r="O190"/>
  <c r="O191"/>
  <c r="O192"/>
  <c r="O193"/>
  <c r="O194"/>
  <c r="O195"/>
  <c r="O196"/>
  <c r="O197"/>
  <c r="O198"/>
  <c r="O199"/>
  <c r="O200"/>
  <c r="O201"/>
  <c r="O202"/>
  <c r="O203"/>
  <c r="O204"/>
  <c r="O205"/>
  <c r="O206"/>
  <c r="O207"/>
  <c r="O208"/>
  <c r="O209"/>
  <c r="O210"/>
  <c r="O211"/>
  <c r="O212"/>
  <c r="O213"/>
  <c r="O214"/>
  <c r="O215"/>
  <c r="O216"/>
  <c r="O217"/>
  <c r="O218"/>
  <c r="O219"/>
  <c r="O220"/>
  <c r="O221"/>
  <c r="O222"/>
  <c r="O223"/>
  <c r="O224"/>
  <c r="O225"/>
  <c r="O226"/>
  <c r="O227"/>
  <c r="O7"/>
  <c r="R227"/>
  <c r="R226"/>
  <c r="R225"/>
  <c r="R224"/>
  <c r="R223"/>
  <c r="R222"/>
  <c r="R221"/>
  <c r="R220"/>
  <c r="R219"/>
  <c r="R218"/>
  <c r="R217"/>
  <c r="R216"/>
  <c r="R215"/>
  <c r="R214"/>
  <c r="R213"/>
  <c r="R212"/>
  <c r="R211"/>
  <c r="R210"/>
  <c r="R209"/>
  <c r="R208"/>
  <c r="R207"/>
  <c r="R206"/>
  <c r="R205"/>
  <c r="R204"/>
  <c r="R203"/>
  <c r="R202"/>
  <c r="R201"/>
  <c r="R200"/>
  <c r="R199"/>
  <c r="R198"/>
  <c r="R197"/>
  <c r="R196"/>
  <c r="R195"/>
  <c r="R194"/>
  <c r="R193"/>
  <c r="R192"/>
  <c r="R191"/>
  <c r="R190"/>
  <c r="R189"/>
  <c r="R188"/>
  <c r="R187"/>
  <c r="R186"/>
  <c r="R185"/>
  <c r="R184"/>
  <c r="R183"/>
  <c r="R182"/>
  <c r="R181"/>
  <c r="R180"/>
  <c r="R179"/>
  <c r="R178"/>
  <c r="R177"/>
  <c r="R176"/>
  <c r="R175"/>
  <c r="R174"/>
  <c r="R173"/>
  <c r="R172"/>
  <c r="R171"/>
  <c r="R170"/>
  <c r="R169"/>
  <c r="R168"/>
  <c r="R167"/>
  <c r="R166"/>
  <c r="R165"/>
  <c r="R164"/>
  <c r="R163"/>
  <c r="R162"/>
  <c r="R161"/>
  <c r="R160"/>
  <c r="R159"/>
  <c r="R158"/>
  <c r="R157"/>
  <c r="R156"/>
  <c r="R155"/>
  <c r="R154"/>
  <c r="R153"/>
  <c r="R152"/>
  <c r="R151"/>
  <c r="R150"/>
  <c r="R149"/>
  <c r="R148"/>
  <c r="R147"/>
  <c r="R146"/>
  <c r="R145"/>
  <c r="R144"/>
  <c r="R143"/>
  <c r="R142"/>
  <c r="R141"/>
  <c r="R140"/>
  <c r="R139"/>
  <c r="R138"/>
  <c r="R137"/>
  <c r="R136"/>
  <c r="R135"/>
  <c r="R134"/>
  <c r="R133"/>
  <c r="R132"/>
  <c r="R131"/>
  <c r="R130"/>
  <c r="R129"/>
  <c r="R128"/>
  <c r="R127"/>
  <c r="R126"/>
  <c r="R125"/>
  <c r="R124"/>
  <c r="R123"/>
  <c r="R122"/>
  <c r="R121"/>
  <c r="R120"/>
  <c r="R119"/>
  <c r="R118"/>
  <c r="R117"/>
  <c r="R116"/>
  <c r="R115"/>
  <c r="R114"/>
  <c r="R113"/>
  <c r="R112"/>
  <c r="R111"/>
  <c r="R110"/>
  <c r="R109"/>
  <c r="R108"/>
  <c r="R107"/>
  <c r="R106"/>
  <c r="R105"/>
  <c r="R104"/>
  <c r="R103"/>
  <c r="R102"/>
  <c r="R101"/>
  <c r="R100"/>
  <c r="R99"/>
  <c r="R98"/>
  <c r="R97"/>
  <c r="R96"/>
  <c r="R95"/>
  <c r="R94"/>
  <c r="R93"/>
  <c r="R92"/>
  <c r="R91"/>
  <c r="R90"/>
  <c r="R89"/>
  <c r="R88"/>
  <c r="R87"/>
  <c r="R86"/>
  <c r="R85"/>
  <c r="R84"/>
  <c r="R83"/>
  <c r="R82"/>
  <c r="R81"/>
  <c r="R80"/>
  <c r="R79"/>
  <c r="R78"/>
  <c r="R77"/>
  <c r="R76"/>
  <c r="R75"/>
  <c r="R74"/>
  <c r="R73"/>
  <c r="R72"/>
  <c r="R71"/>
  <c r="R70"/>
  <c r="R69"/>
  <c r="R68"/>
  <c r="R67"/>
  <c r="R66"/>
  <c r="R65"/>
  <c r="R64"/>
  <c r="R63"/>
  <c r="R62"/>
  <c r="R61"/>
  <c r="R60"/>
  <c r="R59"/>
  <c r="R58"/>
  <c r="R57"/>
  <c r="R56"/>
  <c r="R55"/>
  <c r="R54"/>
  <c r="R53"/>
  <c r="R52"/>
  <c r="R51"/>
  <c r="R50"/>
  <c r="R49"/>
  <c r="R48"/>
  <c r="R47"/>
  <c r="R46"/>
  <c r="R45"/>
  <c r="R44"/>
  <c r="R43"/>
  <c r="R42"/>
  <c r="R41"/>
  <c r="R40"/>
  <c r="R39"/>
  <c r="R38"/>
  <c r="R37"/>
  <c r="R36"/>
  <c r="R35"/>
  <c r="R34"/>
  <c r="R33"/>
  <c r="R32"/>
  <c r="R31"/>
  <c r="R30"/>
  <c r="R29"/>
  <c r="R28"/>
  <c r="R27"/>
  <c r="H29"/>
  <c r="G29"/>
  <c r="F29"/>
  <c r="R26"/>
  <c r="H28"/>
  <c r="G28"/>
  <c r="F28"/>
  <c r="R25"/>
  <c r="R24"/>
  <c r="R23"/>
  <c r="R22"/>
  <c r="R21"/>
  <c r="R20"/>
  <c r="R19"/>
  <c r="R18"/>
  <c r="R17"/>
  <c r="R16"/>
  <c r="R15"/>
  <c r="N5"/>
  <c r="M5"/>
  <c r="R14"/>
  <c r="R13"/>
  <c r="H15"/>
  <c r="G15"/>
  <c r="F15"/>
  <c r="R12"/>
  <c r="H14"/>
  <c r="G14"/>
  <c r="F14"/>
  <c r="R11"/>
  <c r="H13"/>
  <c r="G13"/>
  <c r="F13"/>
  <c r="R10"/>
  <c r="R9"/>
  <c r="R8"/>
  <c r="R7"/>
  <c r="Z18" i="3"/>
  <c r="Y18"/>
  <c r="Z10"/>
  <c r="Y10"/>
  <c r="Z6"/>
  <c r="Y6"/>
  <c r="B7" i="5"/>
  <c r="B2" i="4"/>
  <c r="B3"/>
  <c r="B4"/>
  <c r="B1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D14"/>
  <c r="D15"/>
  <c r="D16"/>
  <c r="D17"/>
  <c r="D18"/>
  <c r="D19"/>
  <c r="D20"/>
  <c r="N16"/>
  <c r="N17"/>
  <c r="N18"/>
  <c r="N19"/>
  <c r="N20"/>
  <c r="N21"/>
  <c r="L22"/>
  <c r="N22"/>
  <c r="N24"/>
  <c r="N25"/>
  <c r="N26"/>
  <c r="N27"/>
  <c r="N28"/>
  <c r="N23"/>
  <c r="B9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L21"/>
  <c r="L20"/>
  <c r="L19"/>
  <c r="L18"/>
  <c r="L17"/>
  <c r="L16"/>
  <c r="L15"/>
  <c r="L14"/>
  <c r="L13"/>
  <c r="L12"/>
  <c r="L11"/>
  <c r="L10"/>
  <c r="L9"/>
  <c r="L8"/>
  <c r="L7"/>
  <c r="K22"/>
  <c r="C20"/>
  <c r="P36"/>
  <c r="K28"/>
  <c r="O16"/>
  <c r="C19"/>
  <c r="P35"/>
  <c r="K27"/>
  <c r="O17"/>
  <c r="C18"/>
  <c r="P34"/>
  <c r="K26"/>
  <c r="O18"/>
  <c r="C16"/>
  <c r="C15"/>
  <c r="P33"/>
  <c r="K25"/>
  <c r="O19"/>
  <c r="C14"/>
  <c r="P32"/>
  <c r="K24"/>
  <c r="O20"/>
  <c r="O24"/>
  <c r="O25"/>
  <c r="O26"/>
  <c r="O27"/>
  <c r="O28"/>
  <c r="B25"/>
  <c r="B23"/>
  <c r="B22"/>
  <c r="K21"/>
  <c r="K20"/>
  <c r="K19"/>
  <c r="K18"/>
  <c r="K17"/>
  <c r="K16"/>
  <c r="K15"/>
  <c r="Z15" i="3"/>
  <c r="Y15"/>
  <c r="K14" i="4"/>
  <c r="Z14" i="3"/>
  <c r="Y14"/>
  <c r="K13" i="4"/>
  <c r="Z13" i="3"/>
  <c r="Y13"/>
  <c r="K12" i="4"/>
  <c r="Z11" i="3"/>
  <c r="Y11"/>
  <c r="K11" i="4"/>
  <c r="K10"/>
  <c r="Z9" i="3"/>
  <c r="Y9"/>
  <c r="K9" i="4"/>
  <c r="Z7" i="3"/>
  <c r="Y7"/>
  <c r="K8" i="4"/>
  <c r="P31"/>
  <c r="K23"/>
  <c r="O21"/>
  <c r="O22"/>
  <c r="O23"/>
  <c r="B24"/>
  <c r="C17"/>
  <c r="K7"/>
  <c r="B28"/>
  <c r="F22"/>
  <c r="F23"/>
  <c r="F24"/>
  <c r="C4" i="8"/>
  <c r="C3"/>
  <c r="C2"/>
  <c r="C1"/>
  <c r="H9" i="7"/>
  <c r="G9"/>
  <c r="G10"/>
  <c r="G15"/>
  <c r="G16"/>
  <c r="G17"/>
  <c r="G18"/>
  <c r="H10"/>
  <c r="H15"/>
  <c r="H16"/>
  <c r="H17"/>
  <c r="H18"/>
  <c r="V2" i="2"/>
  <c r="W2"/>
  <c r="V3"/>
  <c r="V4"/>
  <c r="V5"/>
  <c r="W3"/>
  <c r="W4"/>
  <c r="W5"/>
  <c r="P3"/>
  <c r="P4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P58"/>
  <c r="P59"/>
  <c r="P60"/>
  <c r="P61"/>
  <c r="P62"/>
  <c r="P63"/>
  <c r="P64"/>
  <c r="P65"/>
  <c r="P66"/>
  <c r="P67"/>
  <c r="P68"/>
  <c r="P69"/>
  <c r="P70"/>
  <c r="P71"/>
  <c r="P72"/>
  <c r="P73"/>
  <c r="P74"/>
  <c r="P75"/>
  <c r="P76"/>
  <c r="P77"/>
  <c r="P78"/>
  <c r="P79"/>
  <c r="P80"/>
  <c r="P81"/>
  <c r="P82"/>
  <c r="P83"/>
  <c r="P84"/>
  <c r="P85"/>
  <c r="P86"/>
  <c r="P87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07"/>
  <c r="P108"/>
  <c r="P109"/>
  <c r="P110"/>
  <c r="P111"/>
  <c r="P112"/>
  <c r="P113"/>
  <c r="P114"/>
  <c r="P115"/>
  <c r="P116"/>
  <c r="P117"/>
  <c r="P118"/>
  <c r="P119"/>
  <c r="P120"/>
  <c r="P121"/>
  <c r="P122"/>
  <c r="P123"/>
  <c r="P124"/>
  <c r="P125"/>
  <c r="P126"/>
  <c r="P127"/>
  <c r="P128"/>
  <c r="P129"/>
  <c r="P130"/>
  <c r="P131"/>
  <c r="P132"/>
  <c r="P133"/>
  <c r="P134"/>
  <c r="P135"/>
  <c r="P136"/>
  <c r="P137"/>
  <c r="P138"/>
  <c r="P139"/>
  <c r="P140"/>
  <c r="P141"/>
  <c r="P142"/>
  <c r="P143"/>
  <c r="P144"/>
  <c r="P145"/>
  <c r="P146"/>
  <c r="P147"/>
  <c r="P148"/>
  <c r="P149"/>
  <c r="P150"/>
  <c r="P151"/>
  <c r="P152"/>
  <c r="P153"/>
  <c r="P154"/>
  <c r="P155"/>
  <c r="P156"/>
  <c r="P157"/>
  <c r="P158"/>
  <c r="P159"/>
  <c r="P160"/>
  <c r="P161"/>
  <c r="P162"/>
  <c r="P163"/>
  <c r="P164"/>
  <c r="P165"/>
  <c r="P166"/>
  <c r="P167"/>
  <c r="P168"/>
  <c r="P169"/>
  <c r="P170"/>
  <c r="P171"/>
  <c r="P172"/>
  <c r="P173"/>
  <c r="P174"/>
  <c r="P175"/>
  <c r="P176"/>
  <c r="P177"/>
  <c r="P178"/>
  <c r="P179"/>
  <c r="P180"/>
  <c r="P181"/>
  <c r="P182"/>
  <c r="P183"/>
  <c r="P184"/>
  <c r="P185"/>
  <c r="P186"/>
  <c r="P187"/>
  <c r="P188"/>
  <c r="P189"/>
  <c r="P190"/>
  <c r="P191"/>
  <c r="P192"/>
  <c r="P193"/>
  <c r="P194"/>
  <c r="P195"/>
  <c r="P196"/>
  <c r="P197"/>
  <c r="P198"/>
  <c r="P199"/>
  <c r="P200"/>
  <c r="P201"/>
  <c r="P202"/>
  <c r="P203"/>
  <c r="P204"/>
  <c r="P205"/>
  <c r="P206"/>
  <c r="P207"/>
  <c r="P208"/>
  <c r="P209"/>
  <c r="P210"/>
  <c r="P211"/>
  <c r="P212"/>
  <c r="P213"/>
  <c r="P214"/>
  <c r="P215"/>
  <c r="P216"/>
  <c r="P217"/>
  <c r="P218"/>
  <c r="P219"/>
  <c r="P220"/>
  <c r="P221"/>
  <c r="P222"/>
  <c r="P223"/>
  <c r="P224"/>
  <c r="P225"/>
  <c r="P226"/>
  <c r="P227"/>
  <c r="P228"/>
  <c r="P229"/>
  <c r="P230"/>
  <c r="P231"/>
  <c r="P232"/>
  <c r="P233"/>
  <c r="P234"/>
  <c r="P235"/>
  <c r="P236"/>
  <c r="P237"/>
  <c r="P238"/>
  <c r="P239"/>
  <c r="P240"/>
  <c r="F15"/>
  <c r="F16"/>
  <c r="F17"/>
  <c r="F14"/>
  <c r="D4"/>
  <c r="D3"/>
  <c r="D2"/>
  <c r="D1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U11"/>
  <c r="U8"/>
  <c r="U9"/>
  <c r="U10"/>
  <c r="S240"/>
  <c r="S3"/>
  <c r="S4"/>
  <c r="S47"/>
  <c r="S48"/>
  <c r="S49"/>
  <c r="S50"/>
  <c r="S46"/>
  <c r="S45"/>
  <c r="S44"/>
  <c r="S43"/>
  <c r="S42"/>
  <c r="S41"/>
  <c r="S40"/>
  <c r="S39"/>
  <c r="S38"/>
  <c r="S37"/>
  <c r="S36"/>
  <c r="S35"/>
  <c r="S34"/>
  <c r="S33"/>
  <c r="S32"/>
  <c r="S31"/>
  <c r="S30"/>
  <c r="S29"/>
  <c r="S28"/>
  <c r="S27"/>
  <c r="S26"/>
  <c r="S25"/>
  <c r="S24"/>
  <c r="S23"/>
  <c r="S22"/>
  <c r="S21"/>
  <c r="S20"/>
  <c r="S19"/>
  <c r="S18"/>
  <c r="S17"/>
  <c r="S16"/>
  <c r="S15"/>
  <c r="S14"/>
  <c r="S13"/>
  <c r="S12"/>
  <c r="S11"/>
  <c r="S10"/>
  <c r="S9"/>
  <c r="S8"/>
  <c r="S7"/>
  <c r="S6"/>
  <c r="S5"/>
  <c r="S239"/>
  <c r="S238"/>
  <c r="S237"/>
  <c r="S236"/>
  <c r="S235"/>
  <c r="S234"/>
  <c r="S233"/>
  <c r="S232"/>
  <c r="S231"/>
  <c r="S230"/>
  <c r="S229"/>
  <c r="S228"/>
  <c r="S227"/>
  <c r="S226"/>
  <c r="S225"/>
  <c r="S224"/>
  <c r="S223"/>
  <c r="S222"/>
  <c r="S221"/>
  <c r="S220"/>
  <c r="S219"/>
  <c r="S218"/>
  <c r="S217"/>
  <c r="S216"/>
  <c r="S215"/>
  <c r="S214"/>
  <c r="S213"/>
  <c r="S212"/>
  <c r="S211"/>
  <c r="S210"/>
  <c r="S209"/>
  <c r="S208"/>
  <c r="S207"/>
  <c r="S206"/>
  <c r="S205"/>
  <c r="S204"/>
  <c r="S203"/>
  <c r="S202"/>
  <c r="S201"/>
  <c r="S200"/>
  <c r="S199"/>
  <c r="S198"/>
  <c r="S197"/>
  <c r="S196"/>
  <c r="S195"/>
  <c r="S194"/>
  <c r="S193"/>
  <c r="S192"/>
  <c r="S191"/>
  <c r="S190"/>
  <c r="S189"/>
  <c r="S188"/>
  <c r="S187"/>
  <c r="S186"/>
  <c r="S185"/>
  <c r="S184"/>
  <c r="S183"/>
  <c r="S182"/>
  <c r="S181"/>
  <c r="S180"/>
  <c r="S179"/>
  <c r="S178"/>
  <c r="S177"/>
  <c r="S176"/>
  <c r="S175"/>
  <c r="S174"/>
  <c r="S173"/>
  <c r="S172"/>
  <c r="S171"/>
  <c r="S170"/>
  <c r="S169"/>
  <c r="S168"/>
  <c r="S167"/>
  <c r="S166"/>
  <c r="S165"/>
  <c r="S164"/>
  <c r="S163"/>
  <c r="S162"/>
  <c r="S161"/>
  <c r="S160"/>
  <c r="S159"/>
  <c r="S158"/>
  <c r="S157"/>
  <c r="S156"/>
  <c r="S155"/>
  <c r="S154"/>
  <c r="S153"/>
  <c r="S152"/>
  <c r="S151"/>
  <c r="S150"/>
  <c r="S149"/>
  <c r="S148"/>
  <c r="S147"/>
  <c r="S146"/>
  <c r="S145"/>
  <c r="S144"/>
  <c r="S143"/>
  <c r="S142"/>
  <c r="S141"/>
  <c r="S140"/>
  <c r="S139"/>
  <c r="S138"/>
  <c r="S137"/>
  <c r="S136"/>
  <c r="S135"/>
  <c r="S134"/>
  <c r="S133"/>
  <c r="S132"/>
  <c r="S131"/>
  <c r="S130"/>
  <c r="S129"/>
  <c r="S128"/>
  <c r="S127"/>
  <c r="S126"/>
  <c r="S125"/>
  <c r="S124"/>
  <c r="S123"/>
  <c r="S122"/>
  <c r="S121"/>
  <c r="S120"/>
  <c r="S119"/>
  <c r="S118"/>
  <c r="S117"/>
  <c r="S116"/>
  <c r="S115"/>
  <c r="S114"/>
  <c r="S113"/>
  <c r="S112"/>
  <c r="S111"/>
  <c r="S110"/>
  <c r="S109"/>
  <c r="S108"/>
  <c r="S107"/>
  <c r="S106"/>
  <c r="S105"/>
  <c r="S104"/>
  <c r="S103"/>
  <c r="S102"/>
  <c r="S101"/>
  <c r="S100"/>
  <c r="S99"/>
  <c r="S98"/>
  <c r="S97"/>
  <c r="S96"/>
  <c r="S95"/>
  <c r="S94"/>
  <c r="S93"/>
  <c r="S92"/>
  <c r="S91"/>
  <c r="S90"/>
  <c r="S89"/>
  <c r="S88"/>
  <c r="S87"/>
  <c r="S86"/>
  <c r="S85"/>
  <c r="S84"/>
  <c r="S83"/>
  <c r="S82"/>
  <c r="S81"/>
  <c r="S80"/>
  <c r="S79"/>
  <c r="S78"/>
  <c r="S77"/>
  <c r="S76"/>
  <c r="S75"/>
  <c r="S74"/>
  <c r="S73"/>
  <c r="S72"/>
  <c r="S71"/>
  <c r="S70"/>
  <c r="S69"/>
  <c r="S68"/>
  <c r="S67"/>
  <c r="S66"/>
  <c r="S65"/>
  <c r="S64"/>
  <c r="S63"/>
  <c r="S62"/>
  <c r="S61"/>
  <c r="S60"/>
  <c r="S59"/>
  <c r="S58"/>
  <c r="S57"/>
  <c r="S56"/>
  <c r="S55"/>
  <c r="S54"/>
  <c r="S53"/>
  <c r="S52"/>
  <c r="S51"/>
  <c r="V8" a="1"/>
  <c r="Q3"/>
  <c r="Q4"/>
  <c r="Q5"/>
  <c r="Q6"/>
  <c r="Q7"/>
  <c r="Q8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Q142"/>
  <c r="Q143"/>
  <c r="Q144"/>
  <c r="Q145"/>
  <c r="Q146"/>
  <c r="Q147"/>
  <c r="Q148"/>
  <c r="Q149"/>
  <c r="Q150"/>
  <c r="Q151"/>
  <c r="Q152"/>
  <c r="Q153"/>
  <c r="Q154"/>
  <c r="Q155"/>
  <c r="Q156"/>
  <c r="Q157"/>
  <c r="Q158"/>
  <c r="Q159"/>
  <c r="Q160"/>
  <c r="Q161"/>
  <c r="Q162"/>
  <c r="Q163"/>
  <c r="Q164"/>
  <c r="Q165"/>
  <c r="Q166"/>
  <c r="Q167"/>
  <c r="Q168"/>
  <c r="Q169"/>
  <c r="Q170"/>
  <c r="Q171"/>
  <c r="Q172"/>
  <c r="Q173"/>
  <c r="Q174"/>
  <c r="Q175"/>
  <c r="Q176"/>
  <c r="Q177"/>
  <c r="Q178"/>
  <c r="Q179"/>
  <c r="Q180"/>
  <c r="Q181"/>
  <c r="Q182"/>
  <c r="Q183"/>
  <c r="Q184"/>
  <c r="Q185"/>
  <c r="Q186"/>
  <c r="Q187"/>
  <c r="Q188"/>
  <c r="Q189"/>
  <c r="Q190"/>
  <c r="Q191"/>
  <c r="Q192"/>
  <c r="Q193"/>
  <c r="Q194"/>
  <c r="Q195"/>
  <c r="Q196"/>
  <c r="Q197"/>
  <c r="Q198"/>
  <c r="Q199"/>
  <c r="Q200"/>
  <c r="Q201"/>
  <c r="Q202"/>
  <c r="Q203"/>
  <c r="Q204"/>
  <c r="Q205"/>
  <c r="Q206"/>
  <c r="Q207"/>
  <c r="Q208"/>
  <c r="Q209"/>
  <c r="Q210"/>
  <c r="Q211"/>
  <c r="Q212"/>
  <c r="Q213"/>
  <c r="Q214"/>
  <c r="Q215"/>
  <c r="Q216"/>
  <c r="Q217"/>
  <c r="Q218"/>
  <c r="Q219"/>
  <c r="Q220"/>
  <c r="Q221"/>
  <c r="Q222"/>
  <c r="Q223"/>
  <c r="Q224"/>
  <c r="Q225"/>
  <c r="Q226"/>
  <c r="Q227"/>
  <c r="Q228"/>
  <c r="Q229"/>
  <c r="Q230"/>
  <c r="Q231"/>
  <c r="Q232"/>
  <c r="Q233"/>
  <c r="Q234"/>
  <c r="Q235"/>
  <c r="Q236"/>
  <c r="Q237"/>
  <c r="Q238"/>
  <c r="Q239"/>
  <c r="Q240"/>
  <c r="G14"/>
  <c r="I14"/>
  <c r="E39"/>
  <c r="E41"/>
  <c r="E40"/>
  <c r="I39"/>
  <c r="I41"/>
  <c r="I40"/>
  <c r="R3"/>
  <c r="R240"/>
  <c r="R239"/>
  <c r="R238"/>
  <c r="R237"/>
  <c r="R236"/>
  <c r="R235"/>
  <c r="R234"/>
  <c r="R233"/>
  <c r="R232"/>
  <c r="R231"/>
  <c r="R230"/>
  <c r="R229"/>
  <c r="R228"/>
  <c r="R227"/>
  <c r="R226"/>
  <c r="R225"/>
  <c r="R224"/>
  <c r="R223"/>
  <c r="R222"/>
  <c r="R221"/>
  <c r="R220"/>
  <c r="R219"/>
  <c r="R218"/>
  <c r="R217"/>
  <c r="R216"/>
  <c r="R215"/>
  <c r="R214"/>
  <c r="R213"/>
  <c r="R212"/>
  <c r="R211"/>
  <c r="R210"/>
  <c r="R209"/>
  <c r="R208"/>
  <c r="R207"/>
  <c r="R206"/>
  <c r="R205"/>
  <c r="R204"/>
  <c r="R203"/>
  <c r="R202"/>
  <c r="R201"/>
  <c r="R200"/>
  <c r="R199"/>
  <c r="R198"/>
  <c r="R197"/>
  <c r="R196"/>
  <c r="R195"/>
  <c r="R194"/>
  <c r="R193"/>
  <c r="R192"/>
  <c r="R191"/>
  <c r="R190"/>
  <c r="R189"/>
  <c r="R188"/>
  <c r="R187"/>
  <c r="R186"/>
  <c r="R185"/>
  <c r="R184"/>
  <c r="R183"/>
  <c r="R182"/>
  <c r="R181"/>
  <c r="R180"/>
  <c r="R179"/>
  <c r="R178"/>
  <c r="R177"/>
  <c r="R176"/>
  <c r="R175"/>
  <c r="R174"/>
  <c r="R173"/>
  <c r="R172"/>
  <c r="R171"/>
  <c r="R170"/>
  <c r="R169"/>
  <c r="R168"/>
  <c r="R167"/>
  <c r="R166"/>
  <c r="R165"/>
  <c r="R164"/>
  <c r="R163"/>
  <c r="R162"/>
  <c r="R161"/>
  <c r="R160"/>
  <c r="R159"/>
  <c r="R158"/>
  <c r="R157"/>
  <c r="R156"/>
  <c r="R155"/>
  <c r="R154"/>
  <c r="R153"/>
  <c r="R152"/>
  <c r="R151"/>
  <c r="R150"/>
  <c r="R149"/>
  <c r="R148"/>
  <c r="R147"/>
  <c r="R146"/>
  <c r="R145"/>
  <c r="R144"/>
  <c r="R143"/>
  <c r="R142"/>
  <c r="R141"/>
  <c r="R140"/>
  <c r="R139"/>
  <c r="R138"/>
  <c r="R137"/>
  <c r="R136"/>
  <c r="R135"/>
  <c r="R134"/>
  <c r="R133"/>
  <c r="R132"/>
  <c r="R131"/>
  <c r="R130"/>
  <c r="R129"/>
  <c r="R128"/>
  <c r="R127"/>
  <c r="R126"/>
  <c r="R125"/>
  <c r="R124"/>
  <c r="R123"/>
  <c r="R122"/>
  <c r="R121"/>
  <c r="R120"/>
  <c r="R119"/>
  <c r="R118"/>
  <c r="R117"/>
  <c r="R116"/>
  <c r="R115"/>
  <c r="R114"/>
  <c r="R113"/>
  <c r="R112"/>
  <c r="R111"/>
  <c r="R110"/>
  <c r="R109"/>
  <c r="R108"/>
  <c r="R107"/>
  <c r="R106"/>
  <c r="R105"/>
  <c r="R104"/>
  <c r="R103"/>
  <c r="R102"/>
  <c r="R101"/>
  <c r="R100"/>
  <c r="R99"/>
  <c r="R98"/>
  <c r="R97"/>
  <c r="R96"/>
  <c r="R95"/>
  <c r="R94"/>
  <c r="R93"/>
  <c r="R92"/>
  <c r="R91"/>
  <c r="R90"/>
  <c r="R89"/>
  <c r="R88"/>
  <c r="R87"/>
  <c r="R86"/>
  <c r="R85"/>
  <c r="R84"/>
  <c r="R83"/>
  <c r="R82"/>
  <c r="R81"/>
  <c r="R80"/>
  <c r="R79"/>
  <c r="R78"/>
  <c r="R77"/>
  <c r="R76"/>
  <c r="R75"/>
  <c r="R74"/>
  <c r="R73"/>
  <c r="R72"/>
  <c r="R71"/>
  <c r="R70"/>
  <c r="R69"/>
  <c r="R68"/>
  <c r="R67"/>
  <c r="R66"/>
  <c r="R65"/>
  <c r="R64"/>
  <c r="R63"/>
  <c r="R62"/>
  <c r="R61"/>
  <c r="R60"/>
  <c r="R59"/>
  <c r="R58"/>
  <c r="R57"/>
  <c r="R56"/>
  <c r="R55"/>
  <c r="R54"/>
  <c r="R53"/>
  <c r="R52"/>
  <c r="R51"/>
  <c r="R50"/>
  <c r="R49"/>
  <c r="R48"/>
  <c r="R47"/>
  <c r="R46"/>
  <c r="R45"/>
  <c r="R44"/>
  <c r="R43"/>
  <c r="R42"/>
  <c r="R41"/>
  <c r="R40"/>
  <c r="R39"/>
  <c r="R38"/>
  <c r="R37"/>
  <c r="R36"/>
  <c r="R35"/>
  <c r="R34"/>
  <c r="R33"/>
  <c r="R32"/>
  <c r="R31"/>
  <c r="R30"/>
  <c r="R29"/>
  <c r="R28"/>
  <c r="R27"/>
  <c r="R26"/>
  <c r="R25"/>
  <c r="R24"/>
  <c r="R23"/>
  <c r="R22"/>
  <c r="R21"/>
  <c r="R20"/>
  <c r="R19"/>
  <c r="R18"/>
  <c r="R17"/>
  <c r="R16"/>
  <c r="R15"/>
  <c r="R14"/>
  <c r="R13"/>
  <c r="R12"/>
  <c r="R11"/>
  <c r="R10"/>
  <c r="R9"/>
  <c r="R8"/>
  <c r="R7"/>
  <c r="R6"/>
  <c r="R5"/>
  <c r="R4"/>
  <c r="G15"/>
  <c r="C39"/>
  <c r="D39"/>
  <c r="C41"/>
  <c r="D41"/>
  <c r="C40"/>
  <c r="D40"/>
  <c r="G39"/>
  <c r="H39"/>
  <c r="G40"/>
  <c r="H40"/>
  <c r="G41"/>
  <c r="H41"/>
  <c r="V8"/>
  <c r="V9"/>
  <c r="V10"/>
  <c r="L21"/>
  <c r="L39"/>
  <c r="L38"/>
  <c r="L37"/>
  <c r="L42"/>
  <c r="L28"/>
  <c r="L32"/>
  <c r="L31"/>
  <c r="L30"/>
  <c r="L29"/>
  <c r="L33"/>
  <c r="L23"/>
  <c r="L25"/>
  <c r="L24"/>
  <c r="L26"/>
  <c r="L27"/>
  <c r="L22"/>
  <c r="D13" i="3"/>
  <c r="D14"/>
  <c r="L5" i="2"/>
  <c r="L6"/>
  <c r="L7"/>
  <c r="L8"/>
  <c r="L9"/>
  <c r="L10"/>
  <c r="L11"/>
  <c r="L12"/>
  <c r="L13"/>
  <c r="L14"/>
  <c r="L16"/>
  <c r="L17"/>
  <c r="L18"/>
  <c r="L19"/>
  <c r="L20"/>
  <c r="L15"/>
  <c r="I36"/>
  <c r="J35"/>
  <c r="Z8" i="3"/>
  <c r="Y8"/>
  <c r="Z12"/>
  <c r="Y12"/>
  <c r="N34" i="2"/>
  <c r="N39"/>
  <c r="N38"/>
  <c r="N37"/>
  <c r="L41"/>
  <c r="L40"/>
  <c r="C6"/>
  <c r="N40"/>
  <c r="N41"/>
  <c r="N42"/>
  <c r="D27" i="3"/>
  <c r="K25"/>
  <c r="Q38"/>
  <c r="Q36"/>
  <c r="K42"/>
  <c r="T41"/>
  <c r="T42"/>
  <c r="T43"/>
  <c r="T44"/>
  <c r="T45"/>
  <c r="T46"/>
  <c r="T47"/>
  <c r="T48"/>
  <c r="T49"/>
  <c r="T50"/>
  <c r="T51"/>
  <c r="T52"/>
  <c r="T53"/>
  <c r="T54"/>
  <c r="T55"/>
  <c r="T56"/>
  <c r="T57"/>
  <c r="T58"/>
  <c r="T59"/>
  <c r="T60"/>
  <c r="T61"/>
  <c r="T62"/>
  <c r="T63"/>
  <c r="T64"/>
  <c r="T65"/>
  <c r="T66"/>
  <c r="T67"/>
  <c r="T68"/>
  <c r="T69"/>
  <c r="T70"/>
  <c r="T71"/>
  <c r="T72"/>
  <c r="T73"/>
  <c r="T74"/>
  <c r="T75"/>
  <c r="T40"/>
  <c r="T34"/>
  <c r="S34"/>
  <c r="V41"/>
  <c r="V42"/>
  <c r="V43"/>
  <c r="V44"/>
  <c r="V45"/>
  <c r="V46"/>
  <c r="V47"/>
  <c r="V48"/>
  <c r="V49"/>
  <c r="V50"/>
  <c r="V51"/>
  <c r="V52"/>
  <c r="V53"/>
  <c r="V54"/>
  <c r="V55"/>
  <c r="V56"/>
  <c r="V57"/>
  <c r="V58"/>
  <c r="V59"/>
  <c r="V60"/>
  <c r="V61"/>
  <c r="V62"/>
  <c r="V63"/>
  <c r="V64"/>
  <c r="V65"/>
  <c r="V66"/>
  <c r="V67"/>
  <c r="V68"/>
  <c r="V40"/>
  <c r="T35"/>
  <c r="S35"/>
  <c r="Z4"/>
  <c r="Y4"/>
  <c r="Z5"/>
  <c r="Y5"/>
  <c r="I22"/>
  <c r="C8"/>
  <c r="C34"/>
  <c r="AM17"/>
  <c r="AM11"/>
  <c r="AM15"/>
  <c r="AM18"/>
  <c r="AM16"/>
  <c r="AM14"/>
  <c r="AM31"/>
  <c r="AM30"/>
  <c r="AM29"/>
  <c r="AM28"/>
  <c r="AM27"/>
  <c r="AM26"/>
  <c r="AM25"/>
  <c r="AM23"/>
  <c r="AM22"/>
  <c r="AM21"/>
  <c r="AM20"/>
  <c r="AM12"/>
  <c r="AM10"/>
  <c r="AM9"/>
  <c r="AM8"/>
  <c r="AM7"/>
  <c r="AM6"/>
  <c r="AM5"/>
  <c r="AM4"/>
  <c r="AM3"/>
  <c r="AF32"/>
  <c r="F38"/>
  <c r="F39"/>
  <c r="F40"/>
  <c r="F41"/>
  <c r="F42"/>
  <c r="F43"/>
  <c r="F44"/>
  <c r="F45"/>
  <c r="F46"/>
  <c r="F47"/>
  <c r="F48"/>
  <c r="F37"/>
  <c r="F12"/>
  <c r="F13"/>
  <c r="F14"/>
  <c r="F15"/>
  <c r="F16"/>
  <c r="F17"/>
  <c r="F18"/>
  <c r="F19"/>
  <c r="F20"/>
  <c r="F21"/>
  <c r="F22"/>
  <c r="F23"/>
  <c r="F24"/>
  <c r="F25"/>
  <c r="F11"/>
  <c r="Z3"/>
  <c r="Y3"/>
  <c r="D12"/>
  <c r="D15"/>
  <c r="D17"/>
  <c r="D18"/>
  <c r="D19"/>
  <c r="D20"/>
  <c r="D21"/>
  <c r="D22"/>
  <c r="D23"/>
  <c r="D24"/>
  <c r="D25"/>
  <c r="D26"/>
  <c r="D11"/>
  <c r="E37"/>
  <c r="E38"/>
  <c r="E39"/>
  <c r="E40"/>
  <c r="E41"/>
  <c r="E42"/>
  <c r="E43"/>
  <c r="E44"/>
  <c r="E45"/>
  <c r="E46"/>
  <c r="E47"/>
  <c r="E48"/>
  <c r="E49"/>
  <c r="D38"/>
  <c r="D39"/>
  <c r="D40"/>
  <c r="D41"/>
  <c r="D42"/>
  <c r="D43"/>
  <c r="D44"/>
  <c r="D45"/>
  <c r="D46"/>
  <c r="D47"/>
  <c r="D48"/>
  <c r="D49"/>
  <c r="D37"/>
  <c r="E12"/>
  <c r="E13"/>
  <c r="E14"/>
  <c r="E15"/>
  <c r="E16"/>
  <c r="E17"/>
  <c r="E18"/>
  <c r="E19"/>
  <c r="E20"/>
  <c r="E21"/>
  <c r="E22"/>
  <c r="E23"/>
  <c r="E24"/>
  <c r="E25"/>
  <c r="E26"/>
  <c r="E11"/>
  <c r="D33"/>
  <c r="F32"/>
  <c r="F33"/>
  <c r="G32"/>
  <c r="E31"/>
  <c r="B27"/>
  <c r="Q37"/>
  <c r="Q39"/>
  <c r="R38"/>
  <c r="R37"/>
  <c r="R36"/>
  <c r="AF1"/>
  <c r="K41"/>
  <c r="F122" i="6"/>
  <c r="F121"/>
  <c r="E121"/>
  <c r="F130"/>
  <c r="F129"/>
  <c r="E129"/>
  <c r="E397"/>
  <c r="F397"/>
  <c r="F398"/>
  <c r="E5"/>
  <c r="F5"/>
  <c r="F6"/>
  <c r="E173"/>
  <c r="F173"/>
  <c r="F174"/>
  <c r="E175"/>
  <c r="F175"/>
  <c r="F176"/>
  <c r="E177"/>
  <c r="F177"/>
  <c r="F178"/>
  <c r="E179"/>
  <c r="F179"/>
  <c r="F180"/>
  <c r="E181"/>
  <c r="F181"/>
  <c r="F182"/>
  <c r="E183"/>
  <c r="F183"/>
  <c r="F184"/>
  <c r="E185"/>
  <c r="F185"/>
  <c r="F186"/>
  <c r="E187"/>
  <c r="F187"/>
  <c r="F188"/>
  <c r="E189"/>
  <c r="F189"/>
  <c r="F190"/>
  <c r="E191"/>
  <c r="F191"/>
  <c r="F192"/>
  <c r="E193"/>
  <c r="F193"/>
  <c r="F194"/>
  <c r="E195"/>
  <c r="F195"/>
  <c r="F196"/>
  <c r="E197"/>
  <c r="F197"/>
  <c r="F198"/>
  <c r="E199"/>
  <c r="F199"/>
  <c r="F200"/>
  <c r="E201"/>
  <c r="F201"/>
  <c r="F202"/>
  <c r="E203"/>
  <c r="F203"/>
  <c r="F204"/>
  <c r="E205"/>
  <c r="F205"/>
  <c r="F206"/>
  <c r="E207"/>
  <c r="F207"/>
  <c r="F208"/>
  <c r="E209"/>
  <c r="F209"/>
  <c r="F210"/>
  <c r="E211"/>
  <c r="F211"/>
  <c r="F212"/>
  <c r="E213"/>
  <c r="F213"/>
  <c r="F214"/>
  <c r="E215"/>
  <c r="F215"/>
  <c r="F216"/>
  <c r="E217"/>
  <c r="F217"/>
  <c r="F218"/>
  <c r="E219"/>
  <c r="F219"/>
  <c r="F220"/>
  <c r="E221"/>
  <c r="F221"/>
  <c r="F222"/>
  <c r="E223"/>
  <c r="F223"/>
  <c r="F224"/>
  <c r="E225"/>
  <c r="F225"/>
  <c r="F226"/>
  <c r="E227"/>
  <c r="F227"/>
  <c r="F228"/>
  <c r="E229"/>
  <c r="F229"/>
  <c r="F230"/>
  <c r="E231"/>
  <c r="F231"/>
  <c r="F232"/>
  <c r="E233"/>
  <c r="F233"/>
  <c r="F234"/>
  <c r="E235"/>
  <c r="F235"/>
  <c r="F236"/>
  <c r="E237"/>
  <c r="F237"/>
  <c r="F238"/>
  <c r="E239"/>
  <c r="F239"/>
  <c r="F240"/>
  <c r="E241"/>
  <c r="F241"/>
  <c r="F242"/>
  <c r="E243"/>
  <c r="F243"/>
  <c r="F244"/>
  <c r="E245"/>
  <c r="F245"/>
  <c r="F246"/>
  <c r="E247"/>
  <c r="F247"/>
  <c r="F248"/>
  <c r="E249"/>
  <c r="F249"/>
  <c r="F250"/>
  <c r="E251"/>
  <c r="F251"/>
  <c r="F252"/>
  <c r="E253"/>
  <c r="F253"/>
  <c r="F254"/>
  <c r="E255"/>
  <c r="F255"/>
  <c r="F256"/>
  <c r="E257"/>
  <c r="F257"/>
  <c r="F258"/>
  <c r="E259"/>
  <c r="F259"/>
  <c r="F260"/>
  <c r="E261"/>
  <c r="F261"/>
  <c r="F262"/>
  <c r="E263"/>
  <c r="F263"/>
  <c r="F264"/>
  <c r="E265"/>
  <c r="F265"/>
  <c r="F266"/>
  <c r="E267"/>
  <c r="F267"/>
  <c r="F268"/>
  <c r="E269"/>
  <c r="F269"/>
  <c r="F270"/>
  <c r="E271"/>
  <c r="F271"/>
  <c r="F272"/>
  <c r="E273"/>
  <c r="F273"/>
  <c r="F274"/>
  <c r="E275"/>
  <c r="F275"/>
  <c r="F276"/>
  <c r="E277"/>
  <c r="F277"/>
  <c r="F278"/>
  <c r="E279"/>
  <c r="F279"/>
  <c r="F280"/>
  <c r="E281"/>
  <c r="F281"/>
  <c r="F282"/>
  <c r="E283"/>
  <c r="F283"/>
  <c r="F284"/>
  <c r="E285"/>
  <c r="F285"/>
  <c r="F286"/>
  <c r="E287"/>
  <c r="F287"/>
  <c r="F288"/>
  <c r="E289"/>
  <c r="F289"/>
  <c r="F290"/>
  <c r="E291"/>
  <c r="F291"/>
  <c r="F292"/>
  <c r="E293"/>
  <c r="F293"/>
  <c r="F294"/>
  <c r="E295"/>
  <c r="F295"/>
  <c r="F296"/>
  <c r="E297"/>
  <c r="F297"/>
  <c r="F298"/>
  <c r="E299"/>
  <c r="F299"/>
  <c r="F300"/>
  <c r="E301"/>
  <c r="F301"/>
  <c r="F302"/>
  <c r="E303"/>
  <c r="F303"/>
  <c r="F304"/>
  <c r="E305"/>
  <c r="F305"/>
  <c r="F306"/>
  <c r="E307"/>
  <c r="F307"/>
  <c r="F308"/>
  <c r="E309"/>
  <c r="F309"/>
  <c r="F310"/>
  <c r="E311"/>
  <c r="F311"/>
  <c r="F312"/>
  <c r="E313"/>
  <c r="F313"/>
  <c r="F314"/>
  <c r="E315"/>
  <c r="F315"/>
  <c r="F316"/>
  <c r="E317"/>
  <c r="F317"/>
  <c r="F318"/>
  <c r="E319"/>
  <c r="F319"/>
  <c r="F320"/>
  <c r="E321"/>
  <c r="F321"/>
  <c r="F322"/>
  <c r="E323"/>
  <c r="F323"/>
  <c r="F324"/>
  <c r="E325"/>
  <c r="F325"/>
  <c r="F326"/>
  <c r="E327"/>
  <c r="F327"/>
  <c r="F328"/>
  <c r="E329"/>
  <c r="F329"/>
  <c r="F330"/>
  <c r="E331"/>
  <c r="F331"/>
  <c r="F332"/>
  <c r="E333"/>
  <c r="F333"/>
  <c r="F334"/>
  <c r="E335"/>
  <c r="F335"/>
  <c r="F336"/>
  <c r="E337"/>
  <c r="F337"/>
  <c r="F338"/>
  <c r="E339"/>
  <c r="F339"/>
  <c r="F340"/>
  <c r="E341"/>
  <c r="F341"/>
  <c r="F342"/>
  <c r="E343"/>
  <c r="F343"/>
  <c r="F344"/>
  <c r="E345"/>
  <c r="F345"/>
  <c r="F346"/>
  <c r="E347"/>
  <c r="F347"/>
  <c r="F348"/>
  <c r="E349"/>
  <c r="F349"/>
  <c r="F350"/>
  <c r="E351"/>
  <c r="F351"/>
  <c r="F352"/>
  <c r="E353"/>
  <c r="F353"/>
  <c r="F354"/>
  <c r="E355"/>
  <c r="F355"/>
  <c r="F356"/>
  <c r="E357"/>
  <c r="F357"/>
  <c r="F358"/>
  <c r="E359"/>
  <c r="F359"/>
  <c r="F360"/>
  <c r="E361"/>
  <c r="F361"/>
  <c r="F362"/>
  <c r="E363"/>
  <c r="F363"/>
  <c r="F364"/>
  <c r="E365"/>
  <c r="F365"/>
  <c r="F366"/>
  <c r="E367"/>
  <c r="F367"/>
  <c r="F368"/>
  <c r="E369"/>
  <c r="F369"/>
  <c r="F370"/>
  <c r="E371"/>
  <c r="F371"/>
  <c r="F372"/>
  <c r="E373"/>
  <c r="F373"/>
  <c r="F374"/>
  <c r="E375"/>
  <c r="F375"/>
  <c r="F376"/>
  <c r="E377"/>
  <c r="F377"/>
  <c r="F378"/>
  <c r="E379"/>
  <c r="F379"/>
  <c r="F380"/>
  <c r="E381"/>
  <c r="F381"/>
  <c r="F382"/>
  <c r="E383"/>
  <c r="F383"/>
  <c r="F384"/>
  <c r="E385"/>
  <c r="F385"/>
  <c r="F386"/>
  <c r="E387"/>
  <c r="F387"/>
  <c r="F388"/>
  <c r="E389"/>
  <c r="F389"/>
  <c r="F390"/>
  <c r="E391"/>
  <c r="F391"/>
  <c r="F392"/>
  <c r="E393"/>
  <c r="F393"/>
  <c r="F394"/>
  <c r="E395"/>
  <c r="F395"/>
  <c r="F396"/>
  <c r="F172"/>
  <c r="F171"/>
  <c r="E171"/>
  <c r="F170"/>
  <c r="F169"/>
  <c r="E169"/>
  <c r="F168"/>
  <c r="F167"/>
  <c r="E167"/>
  <c r="F166"/>
  <c r="F165"/>
  <c r="E165"/>
  <c r="F164"/>
  <c r="F163"/>
  <c r="E163"/>
  <c r="F162"/>
  <c r="F161"/>
  <c r="E161"/>
  <c r="F160"/>
  <c r="F159"/>
  <c r="E159"/>
  <c r="F158"/>
  <c r="F157"/>
  <c r="E157"/>
  <c r="F156"/>
  <c r="F155"/>
  <c r="E155"/>
  <c r="F154"/>
  <c r="F153"/>
  <c r="E153"/>
  <c r="F152"/>
  <c r="F151"/>
  <c r="E151"/>
  <c r="F150"/>
  <c r="F149"/>
  <c r="E149"/>
  <c r="F148"/>
  <c r="F147"/>
  <c r="E147"/>
  <c r="F146"/>
  <c r="F145"/>
  <c r="E145"/>
  <c r="F144"/>
  <c r="F143"/>
  <c r="E143"/>
  <c r="F142"/>
  <c r="F141"/>
  <c r="E141"/>
  <c r="F140"/>
  <c r="F139"/>
  <c r="E139"/>
  <c r="F42"/>
  <c r="F41"/>
  <c r="E41"/>
  <c r="F40"/>
  <c r="F39"/>
  <c r="E39"/>
  <c r="F50"/>
  <c r="F49"/>
  <c r="E49"/>
  <c r="F46"/>
  <c r="F45"/>
  <c r="E45"/>
  <c r="F48"/>
  <c r="F47"/>
  <c r="E47"/>
  <c r="F44"/>
  <c r="F43"/>
  <c r="E43"/>
  <c r="F52"/>
  <c r="F51"/>
  <c r="E51"/>
  <c r="F110"/>
  <c r="F109"/>
  <c r="E109"/>
  <c r="F108"/>
  <c r="F107"/>
  <c r="E107"/>
  <c r="F106"/>
  <c r="F105"/>
  <c r="E105"/>
  <c r="F104"/>
  <c r="F103"/>
  <c r="E103"/>
  <c r="F102"/>
  <c r="F101"/>
  <c r="E101"/>
  <c r="F100"/>
  <c r="F99"/>
  <c r="E99"/>
  <c r="F98"/>
  <c r="F97"/>
  <c r="E97"/>
  <c r="F96"/>
  <c r="F95"/>
  <c r="E95"/>
  <c r="F94"/>
  <c r="F93"/>
  <c r="E93"/>
  <c r="F92"/>
  <c r="F91"/>
  <c r="E91"/>
  <c r="F90"/>
  <c r="F89"/>
  <c r="E89"/>
  <c r="F88"/>
  <c r="F87"/>
  <c r="E87"/>
  <c r="F86"/>
  <c r="F85"/>
  <c r="E85"/>
  <c r="F84"/>
  <c r="F83"/>
  <c r="E83"/>
  <c r="F82"/>
  <c r="F81"/>
  <c r="E81"/>
  <c r="F80"/>
  <c r="F79"/>
  <c r="E79"/>
  <c r="F78"/>
  <c r="F77"/>
  <c r="E77"/>
  <c r="F76"/>
  <c r="F75"/>
  <c r="E75"/>
  <c r="F138"/>
  <c r="F137"/>
  <c r="E137"/>
  <c r="F136"/>
  <c r="F135"/>
  <c r="E135"/>
  <c r="F134"/>
  <c r="F133"/>
  <c r="E133"/>
  <c r="F132"/>
  <c r="F131"/>
  <c r="E131"/>
  <c r="F128"/>
  <c r="F127"/>
  <c r="E127"/>
  <c r="F126"/>
  <c r="F125"/>
  <c r="E125"/>
  <c r="F124"/>
  <c r="F123"/>
  <c r="E123"/>
  <c r="F120"/>
  <c r="F119"/>
  <c r="E119"/>
  <c r="F118"/>
  <c r="F117"/>
  <c r="E117"/>
  <c r="F116"/>
  <c r="F115"/>
  <c r="E115"/>
  <c r="F114"/>
  <c r="F113"/>
  <c r="E113"/>
  <c r="F112"/>
  <c r="F111"/>
  <c r="E111"/>
  <c r="F74"/>
  <c r="F73"/>
  <c r="E73"/>
  <c r="F72"/>
  <c r="F71"/>
  <c r="E71"/>
  <c r="F70"/>
  <c r="F69"/>
  <c r="E69"/>
  <c r="F68"/>
  <c r="F67"/>
  <c r="E67"/>
  <c r="F66"/>
  <c r="F65"/>
  <c r="E65"/>
  <c r="F64"/>
  <c r="F63"/>
  <c r="E63"/>
  <c r="F62"/>
  <c r="F61"/>
  <c r="E61"/>
  <c r="F60"/>
  <c r="F59"/>
  <c r="E59"/>
  <c r="F58"/>
  <c r="F57"/>
  <c r="E57"/>
  <c r="F56"/>
  <c r="F55"/>
  <c r="E55"/>
  <c r="F54"/>
  <c r="F53"/>
  <c r="E53"/>
  <c r="F38"/>
  <c r="F37"/>
  <c r="E37"/>
  <c r="F36"/>
  <c r="F35"/>
  <c r="E35"/>
  <c r="F34"/>
  <c r="F33"/>
  <c r="E33"/>
  <c r="F32"/>
  <c r="F31"/>
  <c r="E31"/>
  <c r="F30"/>
  <c r="F29"/>
  <c r="E29"/>
  <c r="F28"/>
  <c r="F27"/>
  <c r="E27"/>
  <c r="F26"/>
  <c r="F25"/>
  <c r="E25"/>
  <c r="F24"/>
  <c r="F23"/>
  <c r="E23"/>
  <c r="F22"/>
  <c r="F21"/>
  <c r="E21"/>
  <c r="F20"/>
  <c r="F19"/>
  <c r="E19"/>
  <c r="F18"/>
  <c r="F17"/>
  <c r="E17"/>
  <c r="F16"/>
  <c r="F15"/>
  <c r="E15"/>
  <c r="F14"/>
  <c r="F13"/>
  <c r="E13"/>
  <c r="F12"/>
  <c r="F11"/>
  <c r="E11"/>
  <c r="F10"/>
  <c r="F9"/>
  <c r="E9"/>
  <c r="F8"/>
  <c r="F7"/>
  <c r="E7"/>
</calcChain>
</file>

<file path=xl/comments1.xml><?xml version="1.0" encoding="utf-8"?>
<comments xmlns="http://schemas.openxmlformats.org/spreadsheetml/2006/main">
  <authors>
    <author>A satisfied Microsoft Office user</author>
    <author>J. Frank Spears</author>
  </authors>
  <commentList>
    <comment ref="E3" authorId="0">
      <text>
        <r>
          <rPr>
            <sz val="8"/>
            <color indexed="81"/>
            <rFont val="Tahoma"/>
          </rPr>
          <t>Put an "x" in this cell if you are using only one set of sieves to run the complete gradation.  Leave it blank otherwise.</t>
        </r>
      </text>
    </comment>
    <comment ref="E7" authorId="0">
      <text>
        <r>
          <rPr>
            <sz val="8"/>
            <color indexed="81"/>
            <rFont val="Tahoma"/>
          </rPr>
          <t>Put an "x" in this cell if the weights recorded are cumulative.  Leave it blank if the weights are  individual weights.</t>
        </r>
      </text>
    </comment>
    <comment ref="C11" authorId="1">
      <text>
        <r>
          <rPr>
            <b/>
            <sz val="8"/>
            <color indexed="81"/>
            <rFont val="Tahoma"/>
          </rPr>
          <t xml:space="preserve">Enter a Zero value for the maximum size sieve.
</t>
        </r>
      </text>
    </comment>
    <comment ref="K17" authorId="0">
      <text>
        <r>
          <rPr>
            <sz val="8"/>
            <color indexed="81"/>
            <rFont val="Tahoma"/>
          </rPr>
          <t>Put an "x" in this cell if the sample contains organic soils.</t>
        </r>
      </text>
    </comment>
    <comment ref="K18" authorId="0">
      <text>
        <r>
          <rPr>
            <sz val="8"/>
            <color indexed="81"/>
            <rFont val="Tahoma"/>
          </rPr>
          <t>Put an "x" in this cell if the sample contains silty soils.</t>
        </r>
      </text>
    </comment>
    <comment ref="K19" authorId="0">
      <text>
        <r>
          <rPr>
            <sz val="8"/>
            <color indexed="81"/>
            <rFont val="Tahoma"/>
          </rPr>
          <t>Put an "x" in this cell if the sample contains clayey soils.</t>
        </r>
      </text>
    </comment>
    <comment ref="K20" authorId="0">
      <text>
        <r>
          <rPr>
            <sz val="8"/>
            <color indexed="81"/>
            <rFont val="Tahoma"/>
          </rPr>
          <t>Put an "x" in this cell if the sample is a crushed aggregate.</t>
        </r>
      </text>
    </comment>
    <comment ref="K24" authorId="0">
      <text>
        <r>
          <rPr>
            <sz val="8"/>
            <color indexed="81"/>
            <rFont val="Tahoma"/>
          </rPr>
          <t>If the sample is non-plastic enter a " x " in this cell.</t>
        </r>
      </text>
    </comment>
    <comment ref="E30" authorId="0">
      <text>
        <r>
          <rPr>
            <sz val="8"/>
            <color indexed="81"/>
            <rFont val="Tahoma"/>
          </rPr>
          <t>Put an "x" in this cell if the weights recorded are cumulative.  Leave it blank if the weights are  individual weights.</t>
        </r>
      </text>
    </comment>
  </commentList>
</comments>
</file>

<file path=xl/comments2.xml><?xml version="1.0" encoding="utf-8"?>
<comments xmlns="http://schemas.openxmlformats.org/spreadsheetml/2006/main">
  <authors>
    <author>J. Frank Spears</author>
  </authors>
  <commentList>
    <comment ref="B18" authorId="0">
      <text>
        <r>
          <rPr>
            <sz val="8"/>
            <color indexed="81"/>
            <rFont val="Tahoma"/>
          </rPr>
          <t>The red and blue curve fit lines below must match. Multiply the max and min values on the left by 16.02 for the right</t>
        </r>
      </text>
    </comment>
  </commentList>
</comments>
</file>

<file path=xl/sharedStrings.xml><?xml version="1.0" encoding="utf-8"?>
<sst xmlns="http://schemas.openxmlformats.org/spreadsheetml/2006/main" count="1996" uniqueCount="478">
  <si>
    <t>Copyright</t>
  </si>
  <si>
    <t>Input an "x" if applicable</t>
  </si>
  <si>
    <t>Date Received:</t>
  </si>
  <si>
    <t>ONE SET OF SIEVES ONLY:</t>
  </si>
  <si>
    <t>Sample #:</t>
  </si>
  <si>
    <t>Input an "x" here if the sample analysis is performed</t>
  </si>
  <si>
    <t>Sample ID:</t>
  </si>
  <si>
    <t>Gravel Borrow</t>
  </si>
  <si>
    <t>using only one set of sieves and it is not a split sample!</t>
  </si>
  <si>
    <t>Source:</t>
  </si>
  <si>
    <t>Gravel Section</t>
  </si>
  <si>
    <t>Sample Meets Specs ?</t>
  </si>
  <si>
    <t>Weights are Cumulative:</t>
  </si>
  <si>
    <t>x</t>
  </si>
  <si>
    <t>ASTM  D-2487</t>
  </si>
  <si>
    <t>Cumulative</t>
  </si>
  <si>
    <t>Interpolated</t>
  </si>
  <si>
    <t>Unified Soils Classification System</t>
  </si>
  <si>
    <t>Sieve</t>
  </si>
  <si>
    <t>Retained</t>
  </si>
  <si>
    <t xml:space="preserve">Percent </t>
  </si>
  <si>
    <t>Percent</t>
  </si>
  <si>
    <t>Specs</t>
  </si>
  <si>
    <t>Size</t>
  </si>
  <si>
    <t>Weight</t>
  </si>
  <si>
    <t>Passing</t>
  </si>
  <si>
    <t>Min</t>
  </si>
  <si>
    <t>Max</t>
  </si>
  <si>
    <t>3.00"</t>
  </si>
  <si>
    <t>2.50"</t>
  </si>
  <si>
    <t>Input an "x"</t>
  </si>
  <si>
    <t>2.00"</t>
  </si>
  <si>
    <t>Visual Classification</t>
  </si>
  <si>
    <t>if applicable</t>
  </si>
  <si>
    <t>1.75"</t>
  </si>
  <si>
    <t>Sample is an Organic Soils:</t>
  </si>
  <si>
    <t>1.50"</t>
  </si>
  <si>
    <t>Sample contains Silt:</t>
  </si>
  <si>
    <t>1.25"</t>
  </si>
  <si>
    <t>Sample contains Clay:</t>
  </si>
  <si>
    <t>1.00"</t>
  </si>
  <si>
    <t>Sample is Crushed:</t>
  </si>
  <si>
    <t>3/4"</t>
  </si>
  <si>
    <t>5/8"</t>
  </si>
  <si>
    <t>1/2"</t>
  </si>
  <si>
    <t>3/8"</t>
  </si>
  <si>
    <t>1/4"</t>
  </si>
  <si>
    <t>Non-Plastic:</t>
  </si>
  <si>
    <t>#4</t>
  </si>
  <si>
    <t>Liquid Limit, Oven Dried:</t>
  </si>
  <si>
    <t>Liquid Limit, Not Dried:</t>
  </si>
  <si>
    <t>Plastic Limit:</t>
  </si>
  <si>
    <t>Total Weight</t>
  </si>
  <si>
    <t>Plasticity Index:</t>
  </si>
  <si>
    <t>Fineness Modulus:</t>
  </si>
  <si>
    <r>
      <t>D</t>
    </r>
    <r>
      <rPr>
        <vertAlign val="subscript"/>
        <sz val="8"/>
        <rFont val="Times New Roman"/>
        <family val="1"/>
      </rPr>
      <t>(10)</t>
    </r>
    <r>
      <rPr>
        <sz val="8"/>
        <rFont val="Times New Roman"/>
        <family val="1"/>
      </rPr>
      <t>=</t>
    </r>
  </si>
  <si>
    <t>mm</t>
  </si>
  <si>
    <r>
      <t>D</t>
    </r>
    <r>
      <rPr>
        <vertAlign val="subscript"/>
        <sz val="8"/>
        <rFont val="Times New Roman"/>
        <family val="1"/>
      </rPr>
      <t>(30)</t>
    </r>
    <r>
      <rPr>
        <sz val="8"/>
        <rFont val="Times New Roman"/>
        <family val="1"/>
      </rPr>
      <t>=</t>
    </r>
  </si>
  <si>
    <r>
      <t>D</t>
    </r>
    <r>
      <rPr>
        <vertAlign val="subscript"/>
        <sz val="8"/>
        <rFont val="Times New Roman"/>
        <family val="1"/>
      </rPr>
      <t>(60)</t>
    </r>
    <r>
      <rPr>
        <sz val="8"/>
        <rFont val="Times New Roman"/>
        <family val="1"/>
      </rPr>
      <t>=</t>
    </r>
  </si>
  <si>
    <t>Before Wash Weight:</t>
  </si>
  <si>
    <t>After Wash Weight:</t>
  </si>
  <si>
    <t>Accuracy:</t>
  </si>
  <si>
    <t>% Gravel =</t>
  </si>
  <si>
    <t>After Sieving Weight:</t>
  </si>
  <si>
    <t>% Sand =</t>
  </si>
  <si>
    <t>% Silt &amp; Clay =</t>
  </si>
  <si>
    <t>#8</t>
  </si>
  <si>
    <t>#10</t>
  </si>
  <si>
    <r>
      <t>Coeff. of Curvature, C</t>
    </r>
    <r>
      <rPr>
        <vertAlign val="subscript"/>
        <sz val="8"/>
        <rFont val="Times New Roman"/>
        <family val="1"/>
      </rPr>
      <t>C</t>
    </r>
    <r>
      <rPr>
        <sz val="8"/>
        <rFont val="Times New Roman"/>
        <family val="1"/>
      </rPr>
      <t xml:space="preserve"> =</t>
    </r>
  </si>
  <si>
    <t>#16</t>
  </si>
  <si>
    <r>
      <t>Coeff. of Uniformity, C</t>
    </r>
    <r>
      <rPr>
        <vertAlign val="subscript"/>
        <sz val="8"/>
        <rFont val="Times New Roman"/>
        <family val="1"/>
      </rPr>
      <t>U</t>
    </r>
    <r>
      <rPr>
        <sz val="8"/>
        <rFont val="Times New Roman"/>
        <family val="1"/>
      </rPr>
      <t xml:space="preserve"> =</t>
    </r>
  </si>
  <si>
    <t>#20</t>
  </si>
  <si>
    <t>#30</t>
  </si>
  <si>
    <t>#40</t>
  </si>
  <si>
    <t>#50</t>
  </si>
  <si>
    <t>#60</t>
  </si>
  <si>
    <t>#80</t>
  </si>
  <si>
    <t>#100</t>
  </si>
  <si>
    <t>#200</t>
  </si>
  <si>
    <t>Pan</t>
  </si>
  <si>
    <t>US</t>
  </si>
  <si>
    <t>Metric</t>
  </si>
  <si>
    <t>4.00"</t>
  </si>
  <si>
    <t>6.00"</t>
  </si>
  <si>
    <t>7/8"</t>
  </si>
  <si>
    <t>#140</t>
  </si>
  <si>
    <t>#170</t>
  </si>
  <si>
    <t>Agency</t>
  </si>
  <si>
    <t>Type</t>
  </si>
  <si>
    <t>Range</t>
  </si>
  <si>
    <t xml:space="preserve"> No Specs</t>
  </si>
  <si>
    <t>Other</t>
  </si>
  <si>
    <t>APWA</t>
  </si>
  <si>
    <t>Class A</t>
  </si>
  <si>
    <t>Pit Run</t>
  </si>
  <si>
    <t>Class B</t>
  </si>
  <si>
    <t>ASTM</t>
  </si>
  <si>
    <t>C-33</t>
  </si>
  <si>
    <t>Sand</t>
  </si>
  <si>
    <t>Size #1</t>
  </si>
  <si>
    <t>Size #2</t>
  </si>
  <si>
    <t>Size #3</t>
  </si>
  <si>
    <t>Size #357</t>
  </si>
  <si>
    <t>Size #4</t>
  </si>
  <si>
    <t>Size #467</t>
  </si>
  <si>
    <t>Size #5</t>
  </si>
  <si>
    <t>Size #56</t>
  </si>
  <si>
    <t>Size #57</t>
  </si>
  <si>
    <t>Size #6</t>
  </si>
  <si>
    <t>Size #67</t>
  </si>
  <si>
    <t>Size #7</t>
  </si>
  <si>
    <t>Size #8</t>
  </si>
  <si>
    <t>C-330</t>
  </si>
  <si>
    <t>Lightwgt Coarse &amp; Fine; 1/2" - 0</t>
  </si>
  <si>
    <t>Lightwgt Coarse &amp; Fine; 3/8" - 0</t>
  </si>
  <si>
    <t>Lightwgt Coarse; 1" - #4</t>
  </si>
  <si>
    <t>Lightwgt Coarse; 1/2" - #4</t>
  </si>
  <si>
    <t>Lightwgt Coarse; 3/4" - #4</t>
  </si>
  <si>
    <t>Lightwgt Coarse; 3/8" - #8</t>
  </si>
  <si>
    <t>Lightwgt Fines</t>
  </si>
  <si>
    <t>WSDOT</t>
  </si>
  <si>
    <t>9-03.1(2)B</t>
  </si>
  <si>
    <t>Sand, Class 1</t>
  </si>
  <si>
    <t>Sand, Class 2</t>
  </si>
  <si>
    <t>9-03.1(3)C</t>
  </si>
  <si>
    <t>Grading #2</t>
  </si>
  <si>
    <t>Grading #4</t>
  </si>
  <si>
    <t>Grading #5</t>
  </si>
  <si>
    <t>Grading #6</t>
  </si>
  <si>
    <t>9-03.1(4)C</t>
  </si>
  <si>
    <t>Grading #467</t>
  </si>
  <si>
    <t>Grading #57</t>
  </si>
  <si>
    <t>Grading #67</t>
  </si>
  <si>
    <t>Grading #7</t>
  </si>
  <si>
    <t>Grading #8</t>
  </si>
  <si>
    <t>9-03.10</t>
  </si>
  <si>
    <t>Gravel Base</t>
  </si>
  <si>
    <t>9-03.12(1)B</t>
  </si>
  <si>
    <t>Backfill for Foundations, Class B</t>
  </si>
  <si>
    <t>9-03.12(2)</t>
  </si>
  <si>
    <t>Backfill for Walls</t>
  </si>
  <si>
    <t>9-03.12(3)</t>
  </si>
  <si>
    <t>Backfill for Pipe Bedding</t>
  </si>
  <si>
    <t>9-03.12(4)</t>
  </si>
  <si>
    <t>9-03.13</t>
  </si>
  <si>
    <t>9-03.13(1)</t>
  </si>
  <si>
    <t>Sand Drainage Blanket</t>
  </si>
  <si>
    <t>9-03.17</t>
  </si>
  <si>
    <t>9-03.18</t>
  </si>
  <si>
    <t>Class C</t>
  </si>
  <si>
    <t>9-03.19</t>
  </si>
  <si>
    <t>Trench Backfill</t>
  </si>
  <si>
    <t>9-03.4(2)</t>
  </si>
  <si>
    <t>Crushed Cover Stone</t>
  </si>
  <si>
    <t>Crushed, 3/4" - 1/2"</t>
  </si>
  <si>
    <t>Crushed, 3/8" - #10</t>
  </si>
  <si>
    <t>Crushed, 3/8" - #11</t>
  </si>
  <si>
    <t>9-03.6(2)</t>
  </si>
  <si>
    <t>9-03.8(6)</t>
  </si>
  <si>
    <t>9-03.9(1)</t>
  </si>
  <si>
    <t>Ballast</t>
  </si>
  <si>
    <t>9-03.9(2)</t>
  </si>
  <si>
    <t>Shoulder Ballast</t>
  </si>
  <si>
    <t>9-03.9(3)</t>
  </si>
  <si>
    <t>Base Course</t>
  </si>
  <si>
    <t>Top Course</t>
  </si>
  <si>
    <t>9-03.9(4)</t>
  </si>
  <si>
    <t>Maintenance Rock</t>
  </si>
  <si>
    <t>FHWA</t>
  </si>
  <si>
    <t>Sheathing Material</t>
  </si>
  <si>
    <t>Subbase, Grading A</t>
  </si>
  <si>
    <t>Subbase, Grading B</t>
  </si>
  <si>
    <t>Base, Grading C</t>
  </si>
  <si>
    <t>Base, Grading D</t>
  </si>
  <si>
    <t>Base, Grading E</t>
  </si>
  <si>
    <t>Surface Course, Grading F</t>
  </si>
  <si>
    <t>Surface Course, Grading G</t>
  </si>
  <si>
    <t>Emulsified Asphalt Treated Base, Grading A</t>
  </si>
  <si>
    <t>Emulsified Asphalt Treated Base, Grading B</t>
  </si>
  <si>
    <t>Asphalt Pavement, Grading A</t>
  </si>
  <si>
    <t>Asphalt Pavement, Grading B</t>
  </si>
  <si>
    <t>Asphalt Pavement, Grading C</t>
  </si>
  <si>
    <t>Asphalt Pavement, Grading D</t>
  </si>
  <si>
    <t>Asphalt Pavement, Grading E</t>
  </si>
  <si>
    <t>Asphalt Pavement, Grading F</t>
  </si>
  <si>
    <t>custom</t>
  </si>
  <si>
    <t>specs</t>
  </si>
  <si>
    <t>Sieve Analysis</t>
  </si>
  <si>
    <t>Soils Particle</t>
  </si>
  <si>
    <t>Assumed Sp Gr :</t>
  </si>
  <si>
    <t>Grain Size Distribution</t>
  </si>
  <si>
    <t>Diameter</t>
  </si>
  <si>
    <t>Sp.Gr.</t>
  </si>
  <si>
    <t>"a"</t>
  </si>
  <si>
    <t>"K"</t>
  </si>
  <si>
    <t>Reading</t>
  </si>
  <si>
    <t>"L"</t>
  </si>
  <si>
    <t>Sample Weight:</t>
  </si>
  <si>
    <t>grams</t>
  </si>
  <si>
    <t>3.0"</t>
  </si>
  <si>
    <t xml:space="preserve"> mm</t>
  </si>
  <si>
    <t>Designation</t>
  </si>
  <si>
    <t>Size (mm)</t>
  </si>
  <si>
    <t>Hydroscopic Moisture:</t>
  </si>
  <si>
    <t>2.0"</t>
  </si>
  <si>
    <t>Adjusted Sample Wgt :</t>
  </si>
  <si>
    <t>1.5"</t>
  </si>
  <si>
    <t>Hydrometer</t>
  </si>
  <si>
    <t>1.0"</t>
  </si>
  <si>
    <t>Corrected</t>
  </si>
  <si>
    <t>Minutes</t>
  </si>
  <si>
    <t>% Gravel:</t>
  </si>
  <si>
    <t>Liquid Limit:</t>
  </si>
  <si>
    <t>% Sand:</t>
  </si>
  <si>
    <t>Silts</t>
  </si>
  <si>
    <t>% Silt:</t>
  </si>
  <si>
    <t>% Clay:</t>
  </si>
  <si>
    <t>Clays</t>
  </si>
  <si>
    <t>ASTM D 2487 Soils Classification</t>
  </si>
  <si>
    <t>Colloids</t>
  </si>
  <si>
    <t xml:space="preserve"> </t>
  </si>
  <si>
    <t>Liquid Limit Determination</t>
  </si>
  <si>
    <t>#1</t>
  </si>
  <si>
    <t>#2</t>
  </si>
  <si>
    <t>#3</t>
  </si>
  <si>
    <t>#5</t>
  </si>
  <si>
    <t>#6</t>
  </si>
  <si>
    <t>Weight of Wet Soils + Pan:</t>
  </si>
  <si>
    <t>Weight of Dry Soils + Pan:</t>
  </si>
  <si>
    <t>Weight of Pan:</t>
  </si>
  <si>
    <t>Weight of Dry Soils:</t>
  </si>
  <si>
    <t>Weight of Moisture:</t>
  </si>
  <si>
    <t>% Moisture:</t>
  </si>
  <si>
    <t>N:</t>
  </si>
  <si>
    <t>Liquid Limit @ 25 Blows:</t>
  </si>
  <si>
    <t>Plastic Limit Determination</t>
  </si>
  <si>
    <r>
      <t>Plasticity Index, I</t>
    </r>
    <r>
      <rPr>
        <b/>
        <vertAlign val="subscript"/>
        <sz val="9"/>
        <rFont val="Times New Roman"/>
        <family val="1"/>
      </rPr>
      <t>P</t>
    </r>
    <r>
      <rPr>
        <b/>
        <sz val="9"/>
        <rFont val="Times New Roman"/>
        <family val="1"/>
      </rPr>
      <t>:</t>
    </r>
  </si>
  <si>
    <t>Specifications</t>
  </si>
  <si>
    <t>Liquid Limit=</t>
  </si>
  <si>
    <t>Plastic Limit=</t>
  </si>
  <si>
    <t>Plasticity Index=</t>
  </si>
  <si>
    <t>y</t>
  </si>
  <si>
    <t>ZAV</t>
  </si>
  <si>
    <t>ASTM D-2487, Unified Soils Classification System</t>
  </si>
  <si>
    <t>M=</t>
  </si>
  <si>
    <t>Sample Prepared:</t>
  </si>
  <si>
    <t>Moist:</t>
  </si>
  <si>
    <t>X</t>
  </si>
  <si>
    <t>Manual:</t>
  </si>
  <si>
    <t>Dry:</t>
  </si>
  <si>
    <t>Mechanical:</t>
  </si>
  <si>
    <t>Test Standard:</t>
  </si>
  <si>
    <t>AASHTO T 99:</t>
  </si>
  <si>
    <t>AASHTO T 180:</t>
  </si>
  <si>
    <t>Method</t>
  </si>
  <si>
    <t>ASTM D 698:</t>
  </si>
  <si>
    <t>ASTM D 1557:</t>
  </si>
  <si>
    <t>C</t>
  </si>
  <si>
    <t>Y=</t>
  </si>
  <si>
    <t>c</t>
  </si>
  <si>
    <t>b</t>
  </si>
  <si>
    <t>Assumed Sp. Gr.</t>
  </si>
  <si>
    <t>Point</t>
  </si>
  <si>
    <t>Dry</t>
  </si>
  <si>
    <t>Maximum</t>
  </si>
  <si>
    <t>Optimum</t>
  </si>
  <si>
    <t>a</t>
  </si>
  <si>
    <t>Number</t>
  </si>
  <si>
    <t>Moisture</t>
  </si>
  <si>
    <t>Density</t>
  </si>
  <si>
    <t>Dry Density</t>
  </si>
  <si>
    <t>% Moisture</t>
  </si>
  <si>
    <t>w=[(62.43*SG)-Dry]/(Dry*SG)</t>
  </si>
  <si>
    <t>Dry=[(62.43*SG)/(W*SG+1)]</t>
  </si>
  <si>
    <t>Specs:</t>
  </si>
  <si>
    <t>ASTM D-4718, Correction for Oversize Particles</t>
  </si>
  <si>
    <t>% Retained</t>
  </si>
  <si>
    <t>3/4" Sieve</t>
  </si>
  <si>
    <t>Total Weight=</t>
  </si>
  <si>
    <r>
      <t>y=ax</t>
    </r>
    <r>
      <rPr>
        <vertAlign val="superscript"/>
        <sz val="8"/>
        <rFont val="Times New Roman"/>
        <family val="1"/>
      </rPr>
      <t>2</t>
    </r>
    <r>
      <rPr>
        <sz val="8"/>
        <rFont val="Times New Roman"/>
        <family val="1"/>
      </rPr>
      <t>+bx+c</t>
    </r>
  </si>
  <si>
    <r>
      <t>lbs/ft</t>
    </r>
    <r>
      <rPr>
        <b/>
        <vertAlign val="superscript"/>
        <sz val="8"/>
        <rFont val="Times New Roman"/>
        <family val="1"/>
      </rPr>
      <t>3</t>
    </r>
  </si>
  <si>
    <t>%</t>
  </si>
  <si>
    <t>Delta</t>
  </si>
  <si>
    <t>Given %</t>
  </si>
  <si>
    <t>Coarse</t>
  </si>
  <si>
    <t>%Fines</t>
  </si>
  <si>
    <t>COARSE GRAINED SOILS</t>
  </si>
  <si>
    <t>FINE GRAINED SOILS</t>
  </si>
  <si>
    <t>ORGANIC FINE GRAINED SOILS</t>
  </si>
  <si>
    <t>GW, Well-graded Gravel</t>
  </si>
  <si>
    <t>CL, Lean Clay</t>
  </si>
  <si>
    <t>OL, Organic Clay</t>
  </si>
  <si>
    <t>GW, Well-graded Gravel with Sand</t>
  </si>
  <si>
    <t>CL, Lean Clay with Sand</t>
  </si>
  <si>
    <t>OL, Organic Clay with Sand</t>
  </si>
  <si>
    <t>GP, Poorly graded Gravel</t>
  </si>
  <si>
    <t>CL, Lean Clay with Gravel</t>
  </si>
  <si>
    <t>OL, Organic Clay with Gravel</t>
  </si>
  <si>
    <t>GP, Poorly graded Gravel with Sand</t>
  </si>
  <si>
    <t>CL, Sandy Lean Clay</t>
  </si>
  <si>
    <t>OL, Sandy Organic Clay</t>
  </si>
  <si>
    <t>GW-GM, Well-graded Gravel with Silt</t>
  </si>
  <si>
    <t>CL, Sandy Lean Clay with Gravel</t>
  </si>
  <si>
    <t>OL, Sandy Organic Clay with Gravel</t>
  </si>
  <si>
    <t>GW-GM, Well-graded Gravel with Silt and Sand</t>
  </si>
  <si>
    <t>CL, Gravelly Lean Clay</t>
  </si>
  <si>
    <t>OL, Gravelly Organic Clay</t>
  </si>
  <si>
    <t>GW-GC, Well-graded Gravel with Silty Clay</t>
  </si>
  <si>
    <t>CL, Gravelly Lean Clay with Sand</t>
  </si>
  <si>
    <t>OL, Gravelly Organic Clay with Sand</t>
  </si>
  <si>
    <t>GW-GC, Well-graded Gravel with Silty Clay and Sand</t>
  </si>
  <si>
    <t>CL-ML, Silty Clay</t>
  </si>
  <si>
    <t>OL, Organic Silt</t>
  </si>
  <si>
    <t>GP-GM, Poorly graded Gravel with Silt</t>
  </si>
  <si>
    <t>CL-ML, Silty Clay with Sand</t>
  </si>
  <si>
    <t>OL, Organic Silt with Sand</t>
  </si>
  <si>
    <t>GP-GM, Poorly graded Gravel with Silt and Sand</t>
  </si>
  <si>
    <t>CL-ML, Silty Clay with Gravel</t>
  </si>
  <si>
    <t>OL, Organic Silt with Gravel</t>
  </si>
  <si>
    <t>GP-GC, Poorly graded Gravel with Silty Clay</t>
  </si>
  <si>
    <t>CL-ML, Sandy Silty Clay</t>
  </si>
  <si>
    <t>OL, Sandy Organic Silt</t>
  </si>
  <si>
    <t>GP-GC, Poorly graded Gravel with Silty Clay and Sand</t>
  </si>
  <si>
    <t>CL-ML, Sandy Silty Clay with Gravel</t>
  </si>
  <si>
    <t>OL, Sandy Organic Silt with Gravel</t>
  </si>
  <si>
    <t>GM, Silty Gravel</t>
  </si>
  <si>
    <t>CL-ML, Gravelly Silty Clay</t>
  </si>
  <si>
    <t>OL, Gravelly Organic Silt</t>
  </si>
  <si>
    <t>GM, Silty Gravel with Sand</t>
  </si>
  <si>
    <t>CL-ML, Gravelly Silty Clay with Sand</t>
  </si>
  <si>
    <t>OL, Gravelly Organic Silt with Sand</t>
  </si>
  <si>
    <t>GC, Clayey Gravel</t>
  </si>
  <si>
    <t>ML, Silt</t>
  </si>
  <si>
    <t>OH, Organic Clay</t>
  </si>
  <si>
    <t>GC, Clayey Gravel with Sand</t>
  </si>
  <si>
    <t>ML, Silt with Sand</t>
  </si>
  <si>
    <t>OH, Organic Clay with Sand</t>
  </si>
  <si>
    <t>GC-GM, Silty, Clayey Gravel</t>
  </si>
  <si>
    <t>ML, Silt with Gravel</t>
  </si>
  <si>
    <t>OH, Organic Clay with Gravel</t>
  </si>
  <si>
    <t>GC-GM, Silty,Clayey Gravel with Sand</t>
  </si>
  <si>
    <t>ML, Sandy Silt</t>
  </si>
  <si>
    <t>OH, Sandy Organic Clay</t>
  </si>
  <si>
    <t>SW, Well-graded Sand</t>
  </si>
  <si>
    <t>ML, Sandy Silt with Gravel</t>
  </si>
  <si>
    <t>OH, Sandy Organic Clay with Gravel</t>
  </si>
  <si>
    <t>SW, Well-graded Sand with Gravel</t>
  </si>
  <si>
    <t>ML, Gravelly Silt</t>
  </si>
  <si>
    <t>OH, Gravelly Organic Clay</t>
  </si>
  <si>
    <t>SP, Poorly graded Sand</t>
  </si>
  <si>
    <t>ML, Gravelly Silt with Sand</t>
  </si>
  <si>
    <t>OH, Gravelly Organic Clay with Sand</t>
  </si>
  <si>
    <t>SP, Poorly graded Sand with Gravel</t>
  </si>
  <si>
    <t>CH, Fat Clay</t>
  </si>
  <si>
    <t>OH, Organic Silt</t>
  </si>
  <si>
    <t>SW-SM, Well-graded Sand with Silt</t>
  </si>
  <si>
    <t>CH, Fat Clay with Sand</t>
  </si>
  <si>
    <t>OH, Organic Silt with Sand</t>
  </si>
  <si>
    <t>SW-SM, Well-graded Sand with Silt and Gravel</t>
  </si>
  <si>
    <t>CH, Fat Clay with Gravel</t>
  </si>
  <si>
    <t>OH, Organic Silt with Gravel</t>
  </si>
  <si>
    <t>SW-SC, Well-graded Sand with Silty Clay</t>
  </si>
  <si>
    <t>CH, Sandy Fat Clay</t>
  </si>
  <si>
    <t>OH, Sandy Organic Silt</t>
  </si>
  <si>
    <t>SW-SC, Well-graded Sand with Silty Clay and Gravel</t>
  </si>
  <si>
    <t>CH, Sandy Fat Clay with Gravel</t>
  </si>
  <si>
    <t>OH, Sandy Organic Silt with Gravel</t>
  </si>
  <si>
    <t>SP-SM, Poorly graded Sand with Silt</t>
  </si>
  <si>
    <t>CH, Gravelly Fat Clay</t>
  </si>
  <si>
    <t>OH, Gravelly Organic Silt</t>
  </si>
  <si>
    <t>SP-SM, Poorly graded Sand with Silt and Gravel</t>
  </si>
  <si>
    <t>CH, Gravelly Fat Clay with Sand</t>
  </si>
  <si>
    <t>OH, Gravelly Organic Silt with Sand</t>
  </si>
  <si>
    <t>SP-SC, Poorly graded Sand with Silty Clay</t>
  </si>
  <si>
    <t>MH, Elastic Silt</t>
  </si>
  <si>
    <t>SP-SC, Poorly graded Sand with Silty Clay and Gravel</t>
  </si>
  <si>
    <t>MH, Elastic Silt with Sand</t>
  </si>
  <si>
    <t>SM, Silty Sand</t>
  </si>
  <si>
    <t>MH, Elastic Silt with Gravel</t>
  </si>
  <si>
    <t>SM, Silty Sand with Gravel</t>
  </si>
  <si>
    <t>MH, Sandy Elastic Silt</t>
  </si>
  <si>
    <t>SC, Clayey Sand</t>
  </si>
  <si>
    <t>MH, Sandy Elastic Silt with Gravel</t>
  </si>
  <si>
    <t>SC, Clayey Sand with Gravel</t>
  </si>
  <si>
    <t>MH, Gravelly Elastic Silt</t>
  </si>
  <si>
    <t>SC-SM, Silty, Clayey Sand</t>
  </si>
  <si>
    <t>MH, Gravelly Elastic Silt with Sand</t>
  </si>
  <si>
    <t>SC-SM, Silty,Clayey Sand with Gravel</t>
  </si>
  <si>
    <t>% Retained 3/4"</t>
  </si>
  <si>
    <t>Atterberg Limits</t>
  </si>
  <si>
    <t>Meets Specs?</t>
  </si>
  <si>
    <r>
      <t>C</t>
    </r>
    <r>
      <rPr>
        <vertAlign val="subscript"/>
        <sz val="8"/>
        <color indexed="18"/>
        <rFont val="Times New Roman"/>
        <family val="1"/>
      </rPr>
      <t>C</t>
    </r>
    <r>
      <rPr>
        <sz val="8"/>
        <color indexed="18"/>
        <rFont val="Times New Roman"/>
        <family val="1"/>
      </rPr>
      <t>:</t>
    </r>
  </si>
  <si>
    <r>
      <t>C</t>
    </r>
    <r>
      <rPr>
        <vertAlign val="subscript"/>
        <sz val="8"/>
        <color indexed="18"/>
        <rFont val="Times New Roman"/>
        <family val="1"/>
      </rPr>
      <t>U</t>
    </r>
    <r>
      <rPr>
        <sz val="8"/>
        <color indexed="18"/>
        <rFont val="Times New Roman"/>
        <family val="1"/>
      </rPr>
      <t>:</t>
    </r>
  </si>
  <si>
    <r>
      <t>D</t>
    </r>
    <r>
      <rPr>
        <vertAlign val="subscript"/>
        <sz val="9"/>
        <color indexed="18"/>
        <rFont val="Times New Roman"/>
        <family val="1"/>
      </rPr>
      <t>(10)</t>
    </r>
    <r>
      <rPr>
        <sz val="9"/>
        <color indexed="18"/>
        <rFont val="Times New Roman"/>
        <family val="1"/>
      </rPr>
      <t>:</t>
    </r>
  </si>
  <si>
    <r>
      <t>D</t>
    </r>
    <r>
      <rPr>
        <vertAlign val="subscript"/>
        <sz val="9"/>
        <color indexed="18"/>
        <rFont val="Times New Roman"/>
        <family val="1"/>
      </rPr>
      <t>(30)</t>
    </r>
    <r>
      <rPr>
        <sz val="9"/>
        <color indexed="18"/>
        <rFont val="Times New Roman"/>
        <family val="1"/>
      </rPr>
      <t>:</t>
    </r>
  </si>
  <si>
    <r>
      <t>D</t>
    </r>
    <r>
      <rPr>
        <vertAlign val="subscript"/>
        <sz val="9"/>
        <color indexed="18"/>
        <rFont val="Times New Roman"/>
        <family val="1"/>
      </rPr>
      <t>(60)</t>
    </r>
    <r>
      <rPr>
        <sz val="9"/>
        <color indexed="18"/>
        <rFont val="Times New Roman"/>
        <family val="1"/>
      </rPr>
      <t>:</t>
    </r>
  </si>
  <si>
    <t>LL:</t>
  </si>
  <si>
    <t>PL:</t>
  </si>
  <si>
    <t>PI:</t>
  </si>
  <si>
    <t>FM:</t>
  </si>
  <si>
    <t>% Silt&amp;Clay:</t>
  </si>
  <si>
    <t>Actual</t>
  </si>
  <si>
    <t>9-03.14(1)</t>
  </si>
  <si>
    <t>9-03.14(2)</t>
  </si>
  <si>
    <t>Select Borrow</t>
  </si>
  <si>
    <t>Class A Asphalt</t>
  </si>
  <si>
    <t>Class B Asphalt</t>
  </si>
  <si>
    <t>Class D Asphalt</t>
  </si>
  <si>
    <t>Class E Asphalt</t>
  </si>
  <si>
    <t>Class F Asphalt</t>
  </si>
  <si>
    <t>Class G Asphalt</t>
  </si>
  <si>
    <t>Asphalt Treated Base</t>
  </si>
  <si>
    <t>A:</t>
  </si>
  <si>
    <t>Weight of Mold &amp; Soils</t>
  </si>
  <si>
    <t>B:</t>
  </si>
  <si>
    <t>Weight of Mold</t>
  </si>
  <si>
    <t>C:</t>
  </si>
  <si>
    <t>D:</t>
  </si>
  <si>
    <t>E:</t>
  </si>
  <si>
    <t>Wet Weight of Soils &amp; Pan</t>
  </si>
  <si>
    <t>F:</t>
  </si>
  <si>
    <t>Dry Weight of Soils &amp; Pan</t>
  </si>
  <si>
    <t>G:</t>
  </si>
  <si>
    <t>Weight of Pan</t>
  </si>
  <si>
    <t>H:</t>
  </si>
  <si>
    <t>I:</t>
  </si>
  <si>
    <t>J:</t>
  </si>
  <si>
    <t>K:</t>
  </si>
  <si>
    <t>4"  molds and weight is in Grams:</t>
  </si>
  <si>
    <r>
      <t>Z =</t>
    </r>
    <r>
      <rPr>
        <sz val="10"/>
        <rFont val="Arial"/>
      </rPr>
      <t/>
    </r>
  </si>
  <si>
    <t>4"  molds and weight is in Pounds:</t>
  </si>
  <si>
    <t>6"  molds and weight is in Grams:</t>
  </si>
  <si>
    <t>6"  molds and weight is in Pounds:</t>
  </si>
  <si>
    <t>Use Z=</t>
  </si>
  <si>
    <r>
      <t xml:space="preserve">Wet Weight of Soils </t>
    </r>
    <r>
      <rPr>
        <b/>
        <sz val="8"/>
        <rFont val="Times New Roman"/>
        <family val="1"/>
      </rPr>
      <t>(A-B)</t>
    </r>
  </si>
  <si>
    <r>
      <t xml:space="preserve">Wet Density of Soils </t>
    </r>
    <r>
      <rPr>
        <b/>
        <sz val="8"/>
        <rFont val="Times New Roman"/>
        <family val="1"/>
      </rPr>
      <t>(CxZ*)</t>
    </r>
  </si>
  <si>
    <r>
      <t xml:space="preserve">Weight of Moisture </t>
    </r>
    <r>
      <rPr>
        <b/>
        <sz val="8"/>
        <rFont val="Times New Roman"/>
        <family val="1"/>
      </rPr>
      <t>(E-F)</t>
    </r>
  </si>
  <si>
    <r>
      <t xml:space="preserve">Dry Weight of Soils </t>
    </r>
    <r>
      <rPr>
        <b/>
        <sz val="8"/>
        <rFont val="Times New Roman"/>
        <family val="1"/>
      </rPr>
      <t>(F-G)</t>
    </r>
  </si>
  <si>
    <r>
      <t xml:space="preserve">% Moisture </t>
    </r>
    <r>
      <rPr>
        <b/>
        <sz val="8"/>
        <rFont val="Times New Roman"/>
        <family val="1"/>
      </rPr>
      <t>(H/I) x 100</t>
    </r>
  </si>
  <si>
    <r>
      <t xml:space="preserve">Dry Density </t>
    </r>
    <r>
      <rPr>
        <b/>
        <sz val="8"/>
        <rFont val="Times New Roman"/>
        <family val="1"/>
      </rPr>
      <t>D/[1+(J/100)]</t>
    </r>
  </si>
  <si>
    <t>Wet Weight of Soils + Pan</t>
  </si>
  <si>
    <t>Dry Weight of Soils + Pan</t>
  </si>
  <si>
    <t>Weight of Moisture</t>
  </si>
  <si>
    <t>Dry Weight of Soils</t>
  </si>
  <si>
    <r>
      <t>lbs/ft</t>
    </r>
    <r>
      <rPr>
        <b/>
        <vertAlign val="superscript"/>
        <sz val="8"/>
        <rFont val="Times New Roman"/>
        <family val="1"/>
      </rPr>
      <t>3</t>
    </r>
    <r>
      <rPr>
        <b/>
        <sz val="8"/>
        <rFont val="Times New Roman"/>
        <family val="1"/>
      </rPr>
      <t xml:space="preserve"> </t>
    </r>
  </si>
  <si>
    <r>
      <t>Kgs/m</t>
    </r>
    <r>
      <rPr>
        <b/>
        <vertAlign val="superscript"/>
        <sz val="8"/>
        <rFont val="Times New Roman"/>
        <family val="1"/>
      </rPr>
      <t>3</t>
    </r>
    <r>
      <rPr>
        <b/>
        <sz val="8"/>
        <rFont val="Times New Roman"/>
        <family val="1"/>
      </rPr>
      <t xml:space="preserve"> </t>
    </r>
  </si>
  <si>
    <r>
      <t>lbs/ft</t>
    </r>
    <r>
      <rPr>
        <vertAlign val="superscript"/>
        <sz val="8"/>
        <rFont val="Times New Roman"/>
        <family val="1"/>
      </rPr>
      <t>3</t>
    </r>
  </si>
  <si>
    <r>
      <t>Kgs/m</t>
    </r>
    <r>
      <rPr>
        <vertAlign val="superscript"/>
        <sz val="8"/>
        <rFont val="Times New Roman"/>
        <family val="1"/>
      </rPr>
      <t>3</t>
    </r>
    <r>
      <rPr>
        <sz val="8"/>
        <rFont val="Times New Roman"/>
        <family val="1"/>
      </rPr>
      <t xml:space="preserve"> </t>
    </r>
  </si>
  <si>
    <t>Crushed, 1/2" - #4</t>
  </si>
  <si>
    <t>Crushed, #4 - 0"</t>
  </si>
  <si>
    <t>Crushed, 5/8" - #4</t>
  </si>
  <si>
    <t>Gravel Backfill for Drains</t>
  </si>
  <si>
    <t>9-03.12(5)</t>
  </si>
  <si>
    <t>Gravel Backfill for Drywells</t>
  </si>
  <si>
    <t>Backfill for Sand Drain</t>
  </si>
  <si>
    <t>Classification</t>
  </si>
  <si>
    <t>Project:</t>
  </si>
  <si>
    <t>Fineness Modulus</t>
  </si>
  <si>
    <t>Boring #:</t>
  </si>
  <si>
    <t>Date :</t>
  </si>
  <si>
    <t>Depth:</t>
  </si>
  <si>
    <t>#270</t>
  </si>
  <si>
    <r>
      <t>D</t>
    </r>
    <r>
      <rPr>
        <vertAlign val="subscript"/>
        <sz val="8"/>
        <rFont val="Times New Roman"/>
        <family val="1"/>
      </rPr>
      <t>10</t>
    </r>
    <r>
      <rPr>
        <sz val="8"/>
        <rFont val="Times New Roman"/>
        <family val="1"/>
      </rPr>
      <t xml:space="preserve"> =</t>
    </r>
  </si>
  <si>
    <r>
      <t>D</t>
    </r>
    <r>
      <rPr>
        <vertAlign val="subscript"/>
        <sz val="8"/>
        <rFont val="Times New Roman"/>
        <family val="1"/>
      </rPr>
      <t>30</t>
    </r>
    <r>
      <rPr>
        <sz val="8"/>
        <rFont val="Times New Roman"/>
        <family val="1"/>
      </rPr>
      <t xml:space="preserve"> =</t>
    </r>
  </si>
  <si>
    <r>
      <t>D</t>
    </r>
    <r>
      <rPr>
        <vertAlign val="subscript"/>
        <sz val="8"/>
        <rFont val="Times New Roman"/>
        <family val="1"/>
      </rPr>
      <t>60</t>
    </r>
    <r>
      <rPr>
        <sz val="8"/>
        <rFont val="Times New Roman"/>
        <family val="1"/>
      </rPr>
      <t xml:space="preserve"> =</t>
    </r>
  </si>
  <si>
    <r>
      <t>C</t>
    </r>
    <r>
      <rPr>
        <vertAlign val="subscript"/>
        <sz val="8"/>
        <rFont val="Times New Roman"/>
        <family val="1"/>
      </rPr>
      <t>C</t>
    </r>
    <r>
      <rPr>
        <sz val="8"/>
        <rFont val="Times New Roman"/>
        <family val="1"/>
      </rPr>
      <t xml:space="preserve"> =</t>
    </r>
  </si>
  <si>
    <r>
      <t>C</t>
    </r>
    <r>
      <rPr>
        <vertAlign val="subscript"/>
        <sz val="8"/>
        <rFont val="Times New Roman"/>
        <family val="1"/>
      </rPr>
      <t>U =</t>
    </r>
  </si>
  <si>
    <t>Section</t>
  </si>
  <si>
    <t>Fines</t>
  </si>
  <si>
    <t>Sample Meets Specs</t>
  </si>
  <si>
    <t xml:space="preserve">% Gravel  </t>
  </si>
  <si>
    <t xml:space="preserve">% Sand  </t>
  </si>
  <si>
    <t xml:space="preserve">% Silt &amp; Clay  </t>
  </si>
  <si>
    <t>Location:</t>
  </si>
  <si>
    <t>Spears Engineering &amp; Technical Services PS, 1996-2004</t>
  </si>
  <si>
    <t>Fines Section</t>
  </si>
  <si>
    <t/>
  </si>
  <si>
    <r>
      <t xml:space="preserve">* Z = </t>
    </r>
    <r>
      <rPr>
        <sz val="12"/>
        <rFont val="Times New Roman"/>
        <family val="1"/>
      </rPr>
      <t>a constant which is determined by the size of the mold that is being used.  It is as follows;</t>
    </r>
  </si>
</sst>
</file>

<file path=xl/styles.xml><?xml version="1.0" encoding="utf-8"?>
<styleSheet xmlns="http://schemas.openxmlformats.org/spreadsheetml/2006/main">
  <numFmts count="11">
    <numFmt numFmtId="164" formatCode="0\ %"/>
    <numFmt numFmtId="165" formatCode="mmm\ d\,\ yy"/>
    <numFmt numFmtId="166" formatCode="0.0\ %"/>
    <numFmt numFmtId="167" formatCode="0.0"/>
    <numFmt numFmtId="168" formatCode="0.0%"/>
    <numFmt numFmtId="169" formatCode="0.000"/>
    <numFmt numFmtId="172" formatCode="0.0000"/>
    <numFmt numFmtId="173" formatCode="0.000\ %"/>
    <numFmt numFmtId="176" formatCode="&quot;#&quot;0_);[Red]\(0\)"/>
    <numFmt numFmtId="181" formatCode="#,##0.0"/>
    <numFmt numFmtId="197" formatCode="mm/dd/yy;@"/>
  </numFmts>
  <fonts count="40">
    <font>
      <sz val="10"/>
      <name val="Arial"/>
    </font>
    <font>
      <sz val="10"/>
      <name val="Arial"/>
    </font>
    <font>
      <sz val="6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indexed="32"/>
      <name val="Times New Roman"/>
      <family val="1"/>
    </font>
    <font>
      <sz val="8"/>
      <color indexed="8"/>
      <name val="Times New Roman"/>
      <family val="1"/>
    </font>
    <font>
      <sz val="9"/>
      <name val="Times New Roman"/>
      <family val="1"/>
    </font>
    <font>
      <b/>
      <sz val="8"/>
      <color indexed="25"/>
      <name val="Times New Roman"/>
      <family val="1"/>
    </font>
    <font>
      <b/>
      <sz val="8"/>
      <color indexed="18"/>
      <name val="Times New Roman"/>
      <family val="1"/>
    </font>
    <font>
      <sz val="8"/>
      <color indexed="32"/>
      <name val="Times New Roman"/>
      <family val="1"/>
    </font>
    <font>
      <b/>
      <sz val="8"/>
      <color indexed="16"/>
      <name val="Times New Roman"/>
      <family val="1"/>
    </font>
    <font>
      <vertAlign val="subscript"/>
      <sz val="8"/>
      <name val="Times New Roman"/>
      <family val="1"/>
    </font>
    <font>
      <b/>
      <sz val="8"/>
      <color indexed="56"/>
      <name val="Times New Roman"/>
      <family val="1"/>
    </font>
    <font>
      <b/>
      <sz val="8"/>
      <color indexed="37"/>
      <name val="Times New Roman"/>
      <family val="1"/>
    </font>
    <font>
      <sz val="8"/>
      <color indexed="12"/>
      <name val="Times New Roman"/>
      <family val="1"/>
    </font>
    <font>
      <sz val="8"/>
      <color indexed="81"/>
      <name val="Tahoma"/>
    </font>
    <font>
      <sz val="9"/>
      <name val="Futura"/>
    </font>
    <font>
      <b/>
      <sz val="9"/>
      <name val="Times New Roman"/>
      <family val="1"/>
    </font>
    <font>
      <b/>
      <vertAlign val="subscript"/>
      <sz val="9"/>
      <name val="Times New Roman"/>
      <family val="1"/>
    </font>
    <font>
      <sz val="8"/>
      <color indexed="18"/>
      <name val="Times New Roman"/>
      <family val="1"/>
    </font>
    <font>
      <b/>
      <u/>
      <sz val="8"/>
      <name val="Times New Roman"/>
      <family val="1"/>
    </font>
    <font>
      <vertAlign val="subscript"/>
      <sz val="8"/>
      <color indexed="18"/>
      <name val="Times New Roman"/>
      <family val="1"/>
    </font>
    <font>
      <vertAlign val="superscript"/>
      <sz val="8"/>
      <name val="Times New Roman"/>
      <family val="1"/>
    </font>
    <font>
      <b/>
      <sz val="8"/>
      <name val="Times New Roman"/>
    </font>
    <font>
      <b/>
      <vertAlign val="superscript"/>
      <sz val="8"/>
      <name val="Times New Roman"/>
      <family val="1"/>
    </font>
    <font>
      <b/>
      <sz val="10"/>
      <color indexed="60"/>
      <name val="Times New Roman"/>
      <family val="1"/>
    </font>
    <font>
      <b/>
      <sz val="6"/>
      <name val="Times New Roman"/>
      <family val="1"/>
    </font>
    <font>
      <b/>
      <sz val="8"/>
      <color indexed="10"/>
      <name val="Times New Roman"/>
      <family val="1"/>
    </font>
    <font>
      <sz val="9"/>
      <color indexed="18"/>
      <name val="Times New Roman"/>
      <family val="1"/>
    </font>
    <font>
      <vertAlign val="subscript"/>
      <sz val="9"/>
      <color indexed="1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8"/>
      <name val="Times New Roman"/>
      <family val="1"/>
    </font>
    <font>
      <sz val="10"/>
      <name val="Arial"/>
    </font>
    <font>
      <sz val="8"/>
      <name val="Arial"/>
    </font>
    <font>
      <b/>
      <sz val="8"/>
      <color indexed="81"/>
      <name val="Tahoma"/>
    </font>
    <font>
      <b/>
      <sz val="12"/>
      <color indexed="18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5"/>
        <bgColor indexed="64"/>
      </patternFill>
    </fill>
  </fills>
  <borders count="61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7" fillId="0" borderId="0"/>
    <xf numFmtId="0" fontId="17" fillId="0" borderId="0"/>
    <xf numFmtId="9" fontId="1" fillId="0" borderId="0" applyFont="0" applyFill="0" applyBorder="0" applyAlignment="0" applyProtection="0"/>
  </cellStyleXfs>
  <cellXfs count="445">
    <xf numFmtId="0" fontId="0" fillId="0" borderId="0" xfId="0"/>
    <xf numFmtId="0" fontId="3" fillId="0" borderId="0" xfId="0" applyFont="1" applyProtection="1">
      <protection hidden="1"/>
    </xf>
    <xf numFmtId="164" fontId="4" fillId="0" borderId="0" xfId="0" applyNumberFormat="1" applyFont="1" applyBorder="1" applyAlignment="1" applyProtection="1">
      <alignment horizontal="right"/>
      <protection hidden="1"/>
    </xf>
    <xf numFmtId="165" fontId="3" fillId="2" borderId="0" xfId="0" applyNumberFormat="1" applyFont="1" applyFill="1" applyAlignment="1" applyProtection="1">
      <alignment horizontal="left"/>
      <protection locked="0" hidden="1"/>
    </xf>
    <xf numFmtId="0" fontId="5" fillId="2" borderId="0" xfId="0" applyFont="1" applyFill="1" applyProtection="1">
      <protection locked="0" hidden="1"/>
    </xf>
    <xf numFmtId="0" fontId="3" fillId="2" borderId="0" xfId="0" applyFont="1" applyFill="1" applyAlignment="1" applyProtection="1">
      <alignment horizontal="left"/>
      <protection locked="0" hidden="1"/>
    </xf>
    <xf numFmtId="0" fontId="6" fillId="0" borderId="0" xfId="0" applyFont="1" applyAlignment="1" applyProtection="1">
      <alignment horizontal="center"/>
      <protection hidden="1"/>
    </xf>
    <xf numFmtId="166" fontId="3" fillId="0" borderId="0" xfId="0" applyNumberFormat="1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3" fillId="0" borderId="0" xfId="0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4" fillId="0" borderId="0" xfId="0" applyFont="1" applyAlignment="1" applyProtection="1">
      <alignment horizontal="right"/>
      <protection hidden="1"/>
    </xf>
    <xf numFmtId="0" fontId="9" fillId="0" borderId="0" xfId="0" applyFont="1" applyAlignment="1" applyProtection="1">
      <alignment horizontal="center"/>
      <protection hidden="1"/>
    </xf>
    <xf numFmtId="0" fontId="5" fillId="2" borderId="0" xfId="0" applyFont="1" applyFill="1" applyAlignment="1" applyProtection="1">
      <alignment horizontal="left"/>
      <protection locked="0"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Border="1" applyProtection="1">
      <protection hidden="1"/>
    </xf>
    <xf numFmtId="0" fontId="10" fillId="0" borderId="0" xfId="0" applyFont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center"/>
      <protection hidden="1"/>
    </xf>
    <xf numFmtId="0" fontId="4" fillId="0" borderId="0" xfId="0" applyFont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right"/>
      <protection hidden="1"/>
    </xf>
    <xf numFmtId="166" fontId="3" fillId="0" borderId="0" xfId="0" applyNumberFormat="1" applyFont="1" applyAlignment="1" applyProtection="1">
      <alignment horizontal="center"/>
      <protection hidden="1"/>
    </xf>
    <xf numFmtId="168" fontId="3" fillId="0" borderId="0" xfId="0" applyNumberFormat="1" applyFont="1" applyAlignment="1" applyProtection="1">
      <alignment horizontal="center"/>
      <protection hidden="1"/>
    </xf>
    <xf numFmtId="168" fontId="3" fillId="0" borderId="0" xfId="0" applyNumberFormat="1" applyFont="1" applyBorder="1" applyAlignment="1" applyProtection="1">
      <alignment horizontal="center"/>
      <protection hidden="1"/>
    </xf>
    <xf numFmtId="9" fontId="3" fillId="0" borderId="0" xfId="0" applyNumberFormat="1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left"/>
      <protection hidden="1"/>
    </xf>
    <xf numFmtId="0" fontId="10" fillId="0" borderId="0" xfId="0" applyFont="1" applyAlignment="1" applyProtection="1">
      <alignment horizontal="right"/>
      <protection hidden="1"/>
    </xf>
    <xf numFmtId="0" fontId="4" fillId="0" borderId="0" xfId="0" applyFont="1" applyProtection="1">
      <protection hidden="1"/>
    </xf>
    <xf numFmtId="169" fontId="3" fillId="0" borderId="0" xfId="0" applyNumberFormat="1" applyFont="1" applyAlignment="1" applyProtection="1">
      <alignment horizontal="right"/>
      <protection hidden="1"/>
    </xf>
    <xf numFmtId="167" fontId="5" fillId="2" borderId="0" xfId="0" applyNumberFormat="1" applyFont="1" applyFill="1" applyAlignment="1" applyProtection="1">
      <alignment horizontal="left"/>
      <protection locked="0" hidden="1"/>
    </xf>
    <xf numFmtId="168" fontId="5" fillId="0" borderId="0" xfId="0" applyNumberFormat="1" applyFont="1" applyAlignment="1" applyProtection="1">
      <alignment horizontal="left"/>
      <protection locked="0" hidden="1"/>
    </xf>
    <xf numFmtId="166" fontId="4" fillId="0" borderId="0" xfId="0" applyNumberFormat="1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left"/>
      <protection hidden="1"/>
    </xf>
    <xf numFmtId="2" fontId="4" fillId="0" borderId="0" xfId="0" applyNumberFormat="1" applyFont="1" applyAlignment="1" applyProtection="1">
      <alignment horizontal="center"/>
      <protection hidden="1"/>
    </xf>
    <xf numFmtId="167" fontId="4" fillId="0" borderId="0" xfId="0" applyNumberFormat="1" applyFont="1" applyAlignment="1" applyProtection="1">
      <alignment horizontal="right"/>
      <protection hidden="1"/>
    </xf>
    <xf numFmtId="167" fontId="5" fillId="2" borderId="0" xfId="0" applyNumberFormat="1" applyFont="1" applyFill="1" applyAlignment="1" applyProtection="1">
      <alignment horizontal="center"/>
      <protection locked="0" hidden="1"/>
    </xf>
    <xf numFmtId="0" fontId="13" fillId="0" borderId="0" xfId="0" applyFont="1" applyAlignment="1" applyProtection="1">
      <alignment horizontal="left"/>
      <protection hidden="1"/>
    </xf>
    <xf numFmtId="10" fontId="3" fillId="0" borderId="0" xfId="0" applyNumberFormat="1" applyFont="1" applyAlignment="1" applyProtection="1">
      <alignment horizontal="center"/>
      <protection hidden="1"/>
    </xf>
    <xf numFmtId="166" fontId="3" fillId="0" borderId="0" xfId="0" applyNumberFormat="1" applyFont="1" applyAlignment="1" applyProtection="1">
      <alignment horizontal="left"/>
      <protection hidden="1"/>
    </xf>
    <xf numFmtId="2" fontId="4" fillId="0" borderId="0" xfId="0" applyNumberFormat="1" applyFont="1" applyAlignment="1" applyProtection="1">
      <alignment horizontal="right"/>
      <protection hidden="1"/>
    </xf>
    <xf numFmtId="167" fontId="3" fillId="0" borderId="0" xfId="0" applyNumberFormat="1" applyFont="1" applyAlignment="1" applyProtection="1">
      <alignment horizontal="center"/>
      <protection hidden="1"/>
    </xf>
    <xf numFmtId="0" fontId="14" fillId="0" borderId="0" xfId="0" applyFont="1" applyAlignment="1" applyProtection="1">
      <alignment horizontal="left"/>
      <protection hidden="1"/>
    </xf>
    <xf numFmtId="0" fontId="14" fillId="0" borderId="0" xfId="0" applyFont="1" applyProtection="1">
      <protection hidden="1"/>
    </xf>
    <xf numFmtId="168" fontId="3" fillId="0" borderId="0" xfId="0" applyNumberFormat="1" applyFont="1" applyAlignment="1" applyProtection="1">
      <alignment horizontal="left"/>
      <protection hidden="1"/>
    </xf>
    <xf numFmtId="167" fontId="15" fillId="0" borderId="0" xfId="0" applyNumberFormat="1" applyFont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left"/>
      <protection hidden="1"/>
    </xf>
    <xf numFmtId="2" fontId="3" fillId="0" borderId="0" xfId="0" applyNumberFormat="1" applyFont="1" applyBorder="1" applyAlignment="1" applyProtection="1">
      <alignment horizontal="center"/>
      <protection hidden="1"/>
    </xf>
    <xf numFmtId="169" fontId="3" fillId="0" borderId="0" xfId="0" applyNumberFormat="1" applyFont="1" applyBorder="1" applyAlignment="1" applyProtection="1">
      <alignment horizontal="center"/>
      <protection hidden="1"/>
    </xf>
    <xf numFmtId="0" fontId="3" fillId="0" borderId="0" xfId="2" applyFont="1" applyFill="1" applyAlignment="1" applyProtection="1">
      <alignment horizontal="center"/>
      <protection locked="0" hidden="1"/>
    </xf>
    <xf numFmtId="0" fontId="3" fillId="0" borderId="0" xfId="2" applyFont="1" applyFill="1" applyAlignment="1" applyProtection="1">
      <alignment horizontal="center"/>
      <protection hidden="1"/>
    </xf>
    <xf numFmtId="0" fontId="3" fillId="0" borderId="0" xfId="2" applyFont="1" applyFill="1" applyAlignment="1" applyProtection="1">
      <alignment horizontal="left"/>
      <protection hidden="1"/>
    </xf>
    <xf numFmtId="9" fontId="3" fillId="0" borderId="1" xfId="2" applyNumberFormat="1" applyFont="1" applyFill="1" applyBorder="1" applyAlignment="1" applyProtection="1">
      <alignment horizontal="center"/>
      <protection locked="0" hidden="1"/>
    </xf>
    <xf numFmtId="168" fontId="3" fillId="0" borderId="1" xfId="2" applyNumberFormat="1" applyFont="1" applyFill="1" applyBorder="1" applyAlignment="1" applyProtection="1">
      <alignment horizontal="center"/>
      <protection locked="0" hidden="1"/>
    </xf>
    <xf numFmtId="0" fontId="3" fillId="0" borderId="0" xfId="2" applyFont="1" applyFill="1" applyProtection="1">
      <protection hidden="1"/>
    </xf>
    <xf numFmtId="0" fontId="4" fillId="0" borderId="0" xfId="2" applyFont="1" applyFill="1" applyAlignment="1" applyProtection="1">
      <alignment horizontal="center"/>
      <protection locked="0" hidden="1"/>
    </xf>
    <xf numFmtId="0" fontId="4" fillId="0" borderId="0" xfId="2" applyFont="1" applyFill="1" applyAlignment="1" applyProtection="1">
      <alignment horizontal="left"/>
      <protection locked="0" hidden="1"/>
    </xf>
    <xf numFmtId="0" fontId="4" fillId="0" borderId="0" xfId="2" applyFont="1" applyFill="1" applyProtection="1">
      <protection locked="0" hidden="1"/>
    </xf>
    <xf numFmtId="9" fontId="4" fillId="0" borderId="1" xfId="2" applyNumberFormat="1" applyFont="1" applyFill="1" applyBorder="1" applyAlignment="1" applyProtection="1">
      <alignment horizontal="center"/>
      <protection locked="0" hidden="1"/>
    </xf>
    <xf numFmtId="168" fontId="4" fillId="0" borderId="1" xfId="2" applyNumberFormat="1" applyFont="1" applyFill="1" applyBorder="1" applyAlignment="1" applyProtection="1">
      <alignment horizontal="center"/>
      <protection locked="0" hidden="1"/>
    </xf>
    <xf numFmtId="0" fontId="4" fillId="0" borderId="0" xfId="2" applyFont="1" applyFill="1" applyProtection="1">
      <protection hidden="1"/>
    </xf>
    <xf numFmtId="0" fontId="3" fillId="0" borderId="2" xfId="2" applyFont="1" applyFill="1" applyBorder="1" applyAlignment="1" applyProtection="1">
      <alignment horizontal="center"/>
      <protection locked="0" hidden="1"/>
    </xf>
    <xf numFmtId="0" fontId="3" fillId="0" borderId="3" xfId="2" applyFont="1" applyFill="1" applyBorder="1" applyAlignment="1" applyProtection="1">
      <alignment horizontal="left"/>
      <protection locked="0" hidden="1"/>
    </xf>
    <xf numFmtId="0" fontId="3" fillId="0" borderId="3" xfId="2" applyFont="1" applyFill="1" applyBorder="1" applyProtection="1">
      <protection locked="0" hidden="1"/>
    </xf>
    <xf numFmtId="0" fontId="3" fillId="0" borderId="3" xfId="2" applyFont="1" applyFill="1" applyBorder="1" applyAlignment="1" applyProtection="1">
      <alignment horizontal="center"/>
      <protection locked="0" hidden="1"/>
    </xf>
    <xf numFmtId="0" fontId="3" fillId="0" borderId="3" xfId="2" applyFont="1" applyFill="1" applyBorder="1" applyAlignment="1" applyProtection="1">
      <alignment horizontal="left"/>
      <protection hidden="1"/>
    </xf>
    <xf numFmtId="9" fontId="3" fillId="0" borderId="4" xfId="2" applyNumberFormat="1" applyFont="1" applyFill="1" applyBorder="1" applyAlignment="1" applyProtection="1">
      <alignment horizontal="center"/>
      <protection locked="0" hidden="1"/>
    </xf>
    <xf numFmtId="0" fontId="3" fillId="0" borderId="5" xfId="2" applyFont="1" applyFill="1" applyBorder="1" applyAlignment="1" applyProtection="1">
      <alignment horizontal="center"/>
      <protection locked="0" hidden="1"/>
    </xf>
    <xf numFmtId="0" fontId="3" fillId="0" borderId="6" xfId="2" applyFont="1" applyFill="1" applyBorder="1" applyAlignment="1" applyProtection="1">
      <alignment horizontal="left"/>
      <protection locked="0" hidden="1"/>
    </xf>
    <xf numFmtId="0" fontId="3" fillId="0" borderId="6" xfId="2" applyFont="1" applyFill="1" applyBorder="1" applyProtection="1">
      <protection locked="0" hidden="1"/>
    </xf>
    <xf numFmtId="0" fontId="3" fillId="0" borderId="6" xfId="2" applyFont="1" applyFill="1" applyBorder="1" applyAlignment="1" applyProtection="1">
      <alignment horizontal="center"/>
      <protection locked="0" hidden="1"/>
    </xf>
    <xf numFmtId="0" fontId="3" fillId="0" borderId="6" xfId="2" applyFont="1" applyFill="1" applyBorder="1" applyAlignment="1" applyProtection="1">
      <alignment horizontal="center"/>
      <protection hidden="1"/>
    </xf>
    <xf numFmtId="0" fontId="3" fillId="0" borderId="6" xfId="2" applyFont="1" applyFill="1" applyBorder="1" applyAlignment="1" applyProtection="1">
      <alignment horizontal="left"/>
      <protection hidden="1"/>
    </xf>
    <xf numFmtId="9" fontId="3" fillId="0" borderId="7" xfId="2" applyNumberFormat="1" applyFont="1" applyFill="1" applyBorder="1" applyAlignment="1" applyProtection="1">
      <alignment horizontal="center"/>
      <protection locked="0" hidden="1"/>
    </xf>
    <xf numFmtId="0" fontId="3" fillId="0" borderId="8" xfId="2" applyFont="1" applyFill="1" applyBorder="1" applyAlignment="1" applyProtection="1">
      <alignment horizontal="center"/>
      <protection locked="0" hidden="1"/>
    </xf>
    <xf numFmtId="0" fontId="3" fillId="0" borderId="0" xfId="2" applyFont="1" applyFill="1" applyBorder="1" applyAlignment="1" applyProtection="1">
      <alignment horizontal="left"/>
      <protection locked="0" hidden="1"/>
    </xf>
    <xf numFmtId="0" fontId="3" fillId="0" borderId="0" xfId="2" applyFont="1" applyFill="1" applyBorder="1" applyProtection="1">
      <protection locked="0" hidden="1"/>
    </xf>
    <xf numFmtId="168" fontId="3" fillId="0" borderId="4" xfId="2" applyNumberFormat="1" applyFont="1" applyFill="1" applyBorder="1" applyAlignment="1" applyProtection="1">
      <alignment horizontal="center"/>
      <protection locked="0" hidden="1"/>
    </xf>
    <xf numFmtId="168" fontId="3" fillId="0" borderId="7" xfId="2" applyNumberFormat="1" applyFont="1" applyFill="1" applyBorder="1" applyAlignment="1" applyProtection="1">
      <alignment horizontal="center"/>
      <protection locked="0" hidden="1"/>
    </xf>
    <xf numFmtId="0" fontId="3" fillId="0" borderId="0" xfId="2" applyFont="1" applyFill="1" applyBorder="1" applyAlignment="1" applyProtection="1">
      <alignment horizontal="left"/>
      <protection hidden="1"/>
    </xf>
    <xf numFmtId="176" fontId="3" fillId="0" borderId="3" xfId="2" applyNumberFormat="1" applyFont="1" applyFill="1" applyBorder="1" applyAlignment="1" applyProtection="1">
      <alignment horizontal="left"/>
      <protection locked="0" hidden="1"/>
    </xf>
    <xf numFmtId="176" fontId="3" fillId="0" borderId="6" xfId="2" applyNumberFormat="1" applyFont="1" applyFill="1" applyBorder="1" applyAlignment="1" applyProtection="1">
      <alignment horizontal="left"/>
      <protection locked="0" hidden="1"/>
    </xf>
    <xf numFmtId="0" fontId="3" fillId="0" borderId="0" xfId="2" applyFont="1" applyFill="1" applyAlignment="1" applyProtection="1">
      <alignment horizontal="left"/>
      <protection locked="0" hidden="1"/>
    </xf>
    <xf numFmtId="0" fontId="3" fillId="0" borderId="0" xfId="2" applyFont="1" applyFill="1" applyProtection="1">
      <protection locked="0" hidden="1"/>
    </xf>
    <xf numFmtId="9" fontId="3" fillId="0" borderId="0" xfId="2" applyNumberFormat="1" applyFont="1" applyFill="1" applyBorder="1" applyAlignment="1" applyProtection="1">
      <alignment horizontal="center"/>
      <protection locked="0" hidden="1"/>
    </xf>
    <xf numFmtId="168" fontId="3" fillId="0" borderId="0" xfId="2" applyNumberFormat="1" applyFont="1" applyFill="1" applyBorder="1" applyAlignment="1" applyProtection="1">
      <alignment horizontal="center"/>
      <protection locked="0" hidden="1"/>
    </xf>
    <xf numFmtId="9" fontId="3" fillId="0" borderId="9" xfId="2" applyNumberFormat="1" applyFont="1" applyFill="1" applyBorder="1" applyAlignment="1" applyProtection="1">
      <alignment horizontal="center"/>
      <protection locked="0" hidden="1"/>
    </xf>
    <xf numFmtId="9" fontId="4" fillId="0" borderId="9" xfId="2" applyNumberFormat="1" applyFont="1" applyFill="1" applyBorder="1" applyAlignment="1" applyProtection="1">
      <alignment horizontal="center"/>
      <protection locked="0" hidden="1"/>
    </xf>
    <xf numFmtId="9" fontId="3" fillId="0" borderId="10" xfId="2" applyNumberFormat="1" applyFont="1" applyFill="1" applyBorder="1" applyAlignment="1" applyProtection="1">
      <alignment horizontal="center"/>
      <protection locked="0" hidden="1"/>
    </xf>
    <xf numFmtId="9" fontId="3" fillId="0" borderId="11" xfId="2" applyNumberFormat="1" applyFont="1" applyFill="1" applyBorder="1" applyAlignment="1" applyProtection="1">
      <alignment horizontal="center"/>
      <protection locked="0" hidden="1"/>
    </xf>
    <xf numFmtId="9" fontId="3" fillId="0" borderId="1" xfId="2" applyNumberFormat="1" applyFont="1" applyFill="1" applyBorder="1" applyAlignment="1" applyProtection="1">
      <alignment horizontal="left"/>
      <protection hidden="1"/>
    </xf>
    <xf numFmtId="9" fontId="3" fillId="0" borderId="4" xfId="2" applyNumberFormat="1" applyFont="1" applyFill="1" applyBorder="1" applyAlignment="1" applyProtection="1">
      <alignment horizontal="left"/>
      <protection hidden="1"/>
    </xf>
    <xf numFmtId="9" fontId="3" fillId="0" borderId="7" xfId="2" applyNumberFormat="1" applyFont="1" applyFill="1" applyBorder="1" applyAlignment="1" applyProtection="1">
      <alignment horizontal="left"/>
      <protection hidden="1"/>
    </xf>
    <xf numFmtId="0" fontId="3" fillId="0" borderId="6" xfId="0" applyFont="1" applyBorder="1" applyAlignment="1" applyProtection="1">
      <alignment horizontal="center"/>
      <protection hidden="1"/>
    </xf>
    <xf numFmtId="169" fontId="3" fillId="0" borderId="0" xfId="0" applyNumberFormat="1" applyFont="1" applyAlignment="1" applyProtection="1">
      <alignment horizontal="center"/>
      <protection hidden="1"/>
    </xf>
    <xf numFmtId="0" fontId="4" fillId="0" borderId="0" xfId="1" applyFont="1" applyAlignment="1" applyProtection="1">
      <alignment horizontal="right"/>
      <protection hidden="1"/>
    </xf>
    <xf numFmtId="0" fontId="3" fillId="0" borderId="0" xfId="1" applyFont="1" applyAlignment="1" applyProtection="1">
      <alignment horizontal="left"/>
      <protection hidden="1"/>
    </xf>
    <xf numFmtId="0" fontId="3" fillId="0" borderId="0" xfId="1" applyFont="1" applyProtection="1">
      <protection hidden="1"/>
    </xf>
    <xf numFmtId="0" fontId="3" fillId="0" borderId="0" xfId="1" applyFont="1" applyAlignment="1" applyProtection="1">
      <alignment horizontal="right"/>
      <protection hidden="1"/>
    </xf>
    <xf numFmtId="0" fontId="3" fillId="0" borderId="0" xfId="1" applyFont="1" applyAlignment="1" applyProtection="1">
      <alignment horizontal="center"/>
      <protection hidden="1"/>
    </xf>
    <xf numFmtId="2" fontId="4" fillId="0" borderId="0" xfId="1" applyNumberFormat="1" applyFont="1" applyAlignment="1" applyProtection="1">
      <alignment horizontal="center"/>
      <protection hidden="1"/>
    </xf>
    <xf numFmtId="0" fontId="4" fillId="0" borderId="0" xfId="1" applyFont="1" applyAlignment="1" applyProtection="1">
      <alignment horizontal="center"/>
      <protection hidden="1"/>
    </xf>
    <xf numFmtId="0" fontId="4" fillId="0" borderId="0" xfId="1" applyFont="1" applyAlignment="1" applyProtection="1">
      <alignment horizontal="left"/>
      <protection hidden="1"/>
    </xf>
    <xf numFmtId="2" fontId="3" fillId="0" borderId="0" xfId="1" applyNumberFormat="1" applyFont="1" applyAlignment="1" applyProtection="1">
      <alignment horizontal="center"/>
      <protection hidden="1"/>
    </xf>
    <xf numFmtId="169" fontId="4" fillId="0" borderId="0" xfId="1" applyNumberFormat="1" applyFont="1" applyAlignment="1" applyProtection="1">
      <alignment horizontal="center"/>
      <protection hidden="1"/>
    </xf>
    <xf numFmtId="168" fontId="3" fillId="0" borderId="0" xfId="1" applyNumberFormat="1" applyFont="1" applyAlignment="1" applyProtection="1">
      <alignment horizontal="center"/>
      <protection hidden="1"/>
    </xf>
    <xf numFmtId="169" fontId="3" fillId="0" borderId="0" xfId="1" applyNumberFormat="1" applyFont="1" applyAlignment="1" applyProtection="1">
      <alignment horizontal="right"/>
      <protection hidden="1"/>
    </xf>
    <xf numFmtId="169" fontId="3" fillId="0" borderId="0" xfId="1" applyNumberFormat="1" applyFont="1" applyAlignment="1" applyProtection="1">
      <alignment horizontal="center"/>
      <protection hidden="1"/>
    </xf>
    <xf numFmtId="172" fontId="3" fillId="0" borderId="0" xfId="1" applyNumberFormat="1" applyFont="1" applyAlignment="1" applyProtection="1">
      <alignment horizontal="right"/>
      <protection hidden="1"/>
    </xf>
    <xf numFmtId="169" fontId="3" fillId="0" borderId="0" xfId="1" applyNumberFormat="1" applyFont="1" applyProtection="1">
      <protection hidden="1"/>
    </xf>
    <xf numFmtId="168" fontId="3" fillId="0" borderId="0" xfId="1" applyNumberFormat="1" applyFont="1" applyProtection="1">
      <protection hidden="1"/>
    </xf>
    <xf numFmtId="166" fontId="3" fillId="0" borderId="0" xfId="1" applyNumberFormat="1" applyFont="1" applyAlignment="1" applyProtection="1">
      <alignment horizontal="left"/>
      <protection hidden="1"/>
    </xf>
    <xf numFmtId="166" fontId="3" fillId="0" borderId="0" xfId="1" applyNumberFormat="1" applyFont="1" applyProtection="1">
      <protection hidden="1"/>
    </xf>
    <xf numFmtId="0" fontId="2" fillId="0" borderId="0" xfId="1" applyFont="1" applyAlignment="1" applyProtection="1">
      <alignment horizontal="right"/>
      <protection hidden="1"/>
    </xf>
    <xf numFmtId="0" fontId="17" fillId="0" borderId="0" xfId="1"/>
    <xf numFmtId="167" fontId="3" fillId="0" borderId="0" xfId="1" applyNumberFormat="1" applyFont="1" applyAlignment="1" applyProtection="1">
      <alignment horizontal="center"/>
      <protection hidden="1"/>
    </xf>
    <xf numFmtId="0" fontId="4" fillId="0" borderId="0" xfId="1" applyFont="1" applyProtection="1">
      <protection hidden="1"/>
    </xf>
    <xf numFmtId="0" fontId="3" fillId="3" borderId="12" xfId="1" applyFont="1" applyFill="1" applyBorder="1" applyProtection="1">
      <protection hidden="1"/>
    </xf>
    <xf numFmtId="0" fontId="3" fillId="3" borderId="13" xfId="1" applyFont="1" applyFill="1" applyBorder="1" applyProtection="1">
      <protection hidden="1"/>
    </xf>
    <xf numFmtId="0" fontId="3" fillId="3" borderId="13" xfId="1" applyFont="1" applyFill="1" applyBorder="1" applyAlignment="1" applyProtection="1">
      <alignment horizontal="center"/>
      <protection hidden="1"/>
    </xf>
    <xf numFmtId="0" fontId="3" fillId="3" borderId="14" xfId="1" applyFont="1" applyFill="1" applyBorder="1" applyAlignment="1" applyProtection="1">
      <alignment horizontal="center"/>
      <protection hidden="1"/>
    </xf>
    <xf numFmtId="166" fontId="3" fillId="0" borderId="0" xfId="1" applyNumberFormat="1" applyFont="1" applyAlignment="1" applyProtection="1">
      <alignment horizontal="center"/>
      <protection hidden="1"/>
    </xf>
    <xf numFmtId="0" fontId="7" fillId="0" borderId="0" xfId="1" applyFont="1" applyProtection="1">
      <protection hidden="1"/>
    </xf>
    <xf numFmtId="0" fontId="3" fillId="3" borderId="15" xfId="1" applyFont="1" applyFill="1" applyBorder="1" applyProtection="1">
      <protection hidden="1"/>
    </xf>
    <xf numFmtId="0" fontId="4" fillId="3" borderId="0" xfId="1" applyFont="1" applyFill="1" applyBorder="1" applyAlignment="1" applyProtection="1">
      <alignment horizontal="right"/>
      <protection hidden="1"/>
    </xf>
    <xf numFmtId="4" fontId="3" fillId="3" borderId="0" xfId="1" applyNumberFormat="1" applyFont="1" applyFill="1" applyBorder="1" applyAlignment="1" applyProtection="1">
      <alignment horizontal="center"/>
      <protection hidden="1"/>
    </xf>
    <xf numFmtId="4" fontId="3" fillId="3" borderId="16" xfId="1" applyNumberFormat="1" applyFont="1" applyFill="1" applyBorder="1" applyAlignment="1" applyProtection="1">
      <alignment horizontal="center"/>
      <protection hidden="1"/>
    </xf>
    <xf numFmtId="166" fontId="3" fillId="3" borderId="0" xfId="1" applyNumberFormat="1" applyFont="1" applyFill="1" applyBorder="1" applyAlignment="1" applyProtection="1">
      <alignment horizontal="center"/>
      <protection hidden="1"/>
    </xf>
    <xf numFmtId="166" fontId="3" fillId="3" borderId="16" xfId="1" applyNumberFormat="1" applyFont="1" applyFill="1" applyBorder="1" applyAlignment="1" applyProtection="1">
      <alignment horizontal="center"/>
      <protection hidden="1"/>
    </xf>
    <xf numFmtId="0" fontId="3" fillId="3" borderId="17" xfId="1" applyFont="1" applyFill="1" applyBorder="1" applyProtection="1">
      <protection hidden="1"/>
    </xf>
    <xf numFmtId="0" fontId="4" fillId="3" borderId="18" xfId="1" applyFont="1" applyFill="1" applyBorder="1" applyAlignment="1" applyProtection="1">
      <alignment horizontal="right"/>
      <protection hidden="1"/>
    </xf>
    <xf numFmtId="0" fontId="18" fillId="0" borderId="0" xfId="1" applyFont="1" applyAlignment="1" applyProtection="1">
      <alignment horizontal="right"/>
      <protection hidden="1"/>
    </xf>
    <xf numFmtId="166" fontId="3" fillId="3" borderId="18" xfId="1" applyNumberFormat="1" applyFont="1" applyFill="1" applyBorder="1" applyAlignment="1" applyProtection="1">
      <alignment horizontal="center"/>
      <protection hidden="1"/>
    </xf>
    <xf numFmtId="166" fontId="3" fillId="3" borderId="19" xfId="1" applyNumberFormat="1" applyFont="1" applyFill="1" applyBorder="1" applyAlignment="1" applyProtection="1">
      <alignment horizontal="center"/>
      <protection hidden="1"/>
    </xf>
    <xf numFmtId="2" fontId="3" fillId="0" borderId="0" xfId="0" applyNumberFormat="1" applyFont="1" applyAlignment="1" applyProtection="1">
      <alignment horizontal="center"/>
      <protection hidden="1"/>
    </xf>
    <xf numFmtId="2" fontId="3" fillId="0" borderId="6" xfId="0" applyNumberFormat="1" applyFont="1" applyBorder="1" applyAlignment="1" applyProtection="1">
      <alignment horizontal="center"/>
      <protection hidden="1"/>
    </xf>
    <xf numFmtId="167" fontId="5" fillId="2" borderId="0" xfId="0" applyNumberFormat="1" applyFont="1" applyFill="1" applyBorder="1" applyAlignment="1" applyProtection="1">
      <alignment horizontal="center"/>
      <protection locked="0" hidden="1"/>
    </xf>
    <xf numFmtId="168" fontId="3" fillId="0" borderId="6" xfId="0" applyNumberFormat="1" applyFont="1" applyBorder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21" fillId="0" borderId="0" xfId="0" applyFont="1" applyAlignment="1" applyProtection="1">
      <alignment horizontal="right"/>
      <protection hidden="1"/>
    </xf>
    <xf numFmtId="166" fontId="3" fillId="0" borderId="0" xfId="0" applyNumberFormat="1" applyFont="1" applyAlignment="1" applyProtection="1">
      <alignment horizontal="right"/>
      <protection hidden="1"/>
    </xf>
    <xf numFmtId="166" fontId="3" fillId="0" borderId="6" xfId="0" applyNumberFormat="1" applyFont="1" applyBorder="1" applyAlignment="1" applyProtection="1">
      <alignment horizontal="right"/>
      <protection hidden="1"/>
    </xf>
    <xf numFmtId="0" fontId="3" fillId="0" borderId="13" xfId="2" applyFont="1" applyBorder="1" applyProtection="1">
      <protection hidden="1"/>
    </xf>
    <xf numFmtId="0" fontId="3" fillId="0" borderId="14" xfId="2" applyFont="1" applyBorder="1" applyProtection="1">
      <protection hidden="1"/>
    </xf>
    <xf numFmtId="0" fontId="3" fillId="0" borderId="0" xfId="2" applyFont="1" applyProtection="1">
      <protection hidden="1"/>
    </xf>
    <xf numFmtId="0" fontId="3" fillId="0" borderId="15" xfId="2" applyFont="1" applyBorder="1" applyAlignment="1" applyProtection="1">
      <alignment horizontal="center"/>
      <protection hidden="1"/>
    </xf>
    <xf numFmtId="166" fontId="4" fillId="0" borderId="0" xfId="2" applyNumberFormat="1" applyFont="1" applyBorder="1" applyAlignment="1" applyProtection="1">
      <alignment horizontal="right"/>
      <protection hidden="1"/>
    </xf>
    <xf numFmtId="14" fontId="3" fillId="0" borderId="0" xfId="2" applyNumberFormat="1" applyFont="1" applyBorder="1" applyAlignment="1" applyProtection="1">
      <alignment horizontal="left"/>
      <protection hidden="1"/>
    </xf>
    <xf numFmtId="0" fontId="3" fillId="0" borderId="0" xfId="2" applyFont="1" applyBorder="1" applyAlignment="1" applyProtection="1">
      <alignment horizontal="left"/>
      <protection hidden="1"/>
    </xf>
    <xf numFmtId="0" fontId="3" fillId="0" borderId="0" xfId="2" applyFont="1" applyBorder="1" applyProtection="1">
      <protection hidden="1"/>
    </xf>
    <xf numFmtId="0" fontId="3" fillId="0" borderId="16" xfId="2" applyFont="1" applyBorder="1" applyProtection="1">
      <protection hidden="1"/>
    </xf>
    <xf numFmtId="0" fontId="4" fillId="0" borderId="0" xfId="2" applyFont="1" applyBorder="1" applyAlignment="1" applyProtection="1">
      <alignment horizontal="right"/>
      <protection hidden="1"/>
    </xf>
    <xf numFmtId="166" fontId="4" fillId="0" borderId="0" xfId="2" applyNumberFormat="1" applyFont="1" applyBorder="1" applyAlignment="1" applyProtection="1">
      <alignment horizontal="center"/>
      <protection hidden="1"/>
    </xf>
    <xf numFmtId="166" fontId="4" fillId="0" borderId="16" xfId="2" applyNumberFormat="1" applyFont="1" applyBorder="1" applyAlignment="1" applyProtection="1">
      <alignment horizontal="center"/>
      <protection hidden="1"/>
    </xf>
    <xf numFmtId="168" fontId="3" fillId="0" borderId="20" xfId="2" applyNumberFormat="1" applyFont="1" applyBorder="1" applyAlignment="1" applyProtection="1">
      <alignment horizontal="center"/>
      <protection hidden="1"/>
    </xf>
    <xf numFmtId="168" fontId="3" fillId="0" borderId="21" xfId="2" applyNumberFormat="1" applyFont="1" applyBorder="1" applyAlignment="1" applyProtection="1">
      <alignment horizontal="center"/>
      <protection hidden="1"/>
    </xf>
    <xf numFmtId="168" fontId="3" fillId="0" borderId="1" xfId="2" applyNumberFormat="1" applyFont="1" applyBorder="1" applyAlignment="1" applyProtection="1">
      <alignment horizontal="center"/>
      <protection hidden="1"/>
    </xf>
    <xf numFmtId="168" fontId="3" fillId="0" borderId="0" xfId="2" applyNumberFormat="1" applyFont="1" applyBorder="1" applyAlignment="1" applyProtection="1">
      <alignment horizontal="center"/>
      <protection hidden="1"/>
    </xf>
    <xf numFmtId="168" fontId="3" fillId="0" borderId="16" xfId="2" applyNumberFormat="1" applyFont="1" applyBorder="1" applyAlignment="1" applyProtection="1">
      <alignment horizontal="center"/>
      <protection hidden="1"/>
    </xf>
    <xf numFmtId="0" fontId="2" fillId="0" borderId="0" xfId="2" applyFont="1" applyAlignment="1" applyProtection="1">
      <alignment horizontal="right"/>
      <protection hidden="1"/>
    </xf>
    <xf numFmtId="0" fontId="2" fillId="0" borderId="0" xfId="2" applyFont="1" applyProtection="1">
      <protection hidden="1"/>
    </xf>
    <xf numFmtId="0" fontId="3" fillId="0" borderId="12" xfId="2" applyFont="1" applyBorder="1" applyProtection="1">
      <protection hidden="1"/>
    </xf>
    <xf numFmtId="14" fontId="3" fillId="0" borderId="13" xfId="2" applyNumberFormat="1" applyFont="1" applyBorder="1" applyAlignment="1" applyProtection="1">
      <alignment horizontal="left"/>
      <protection hidden="1"/>
    </xf>
    <xf numFmtId="9" fontId="4" fillId="4" borderId="13" xfId="2" applyNumberFormat="1" applyFont="1" applyFill="1" applyBorder="1" applyAlignment="1" applyProtection="1">
      <alignment horizontal="center"/>
      <protection hidden="1"/>
    </xf>
    <xf numFmtId="0" fontId="4" fillId="4" borderId="13" xfId="2" applyFont="1" applyFill="1" applyBorder="1" applyProtection="1">
      <protection hidden="1"/>
    </xf>
    <xf numFmtId="0" fontId="3" fillId="4" borderId="14" xfId="2" applyFont="1" applyFill="1" applyBorder="1" applyProtection="1">
      <protection hidden="1"/>
    </xf>
    <xf numFmtId="0" fontId="3" fillId="0" borderId="0" xfId="2" applyFont="1" applyBorder="1" applyAlignment="1" applyProtection="1">
      <alignment horizontal="center"/>
      <protection hidden="1"/>
    </xf>
    <xf numFmtId="0" fontId="3" fillId="0" borderId="15" xfId="2" applyFont="1" applyBorder="1" applyProtection="1">
      <protection hidden="1"/>
    </xf>
    <xf numFmtId="9" fontId="4" fillId="4" borderId="0" xfId="2" applyNumberFormat="1" applyFont="1" applyFill="1" applyBorder="1" applyAlignment="1" applyProtection="1">
      <alignment horizontal="center"/>
      <protection hidden="1"/>
    </xf>
    <xf numFmtId="0" fontId="4" fillId="4" borderId="0" xfId="2" applyFont="1" applyFill="1" applyBorder="1" applyAlignment="1" applyProtection="1">
      <alignment horizontal="center"/>
      <protection hidden="1"/>
    </xf>
    <xf numFmtId="0" fontId="4" fillId="4" borderId="16" xfId="2" applyFont="1" applyFill="1" applyBorder="1" applyAlignment="1" applyProtection="1">
      <alignment horizontal="center"/>
      <protection hidden="1"/>
    </xf>
    <xf numFmtId="0" fontId="4" fillId="0" borderId="0" xfId="2" applyFont="1" applyBorder="1" applyAlignment="1" applyProtection="1">
      <alignment horizontal="center"/>
      <protection hidden="1"/>
    </xf>
    <xf numFmtId="0" fontId="3" fillId="0" borderId="22" xfId="2" applyFont="1" applyBorder="1" applyAlignment="1" applyProtection="1">
      <alignment horizontal="center"/>
      <protection hidden="1"/>
    </xf>
    <xf numFmtId="0" fontId="3" fillId="0" borderId="23" xfId="2" applyFont="1" applyBorder="1" applyAlignment="1" applyProtection="1">
      <alignment horizontal="center"/>
      <protection hidden="1"/>
    </xf>
    <xf numFmtId="0" fontId="3" fillId="0" borderId="24" xfId="2" applyFont="1" applyBorder="1" applyAlignment="1" applyProtection="1">
      <alignment horizontal="center"/>
      <protection hidden="1"/>
    </xf>
    <xf numFmtId="0" fontId="24" fillId="0" borderId="0" xfId="2" applyFont="1" applyBorder="1" applyProtection="1">
      <protection hidden="1"/>
    </xf>
    <xf numFmtId="166" fontId="3" fillId="0" borderId="3" xfId="2" applyNumberFormat="1" applyFont="1" applyBorder="1" applyAlignment="1" applyProtection="1">
      <alignment horizontal="center"/>
      <protection hidden="1"/>
    </xf>
    <xf numFmtId="166" fontId="3" fillId="0" borderId="3" xfId="2" applyNumberFormat="1" applyFont="1" applyBorder="1" applyProtection="1">
      <protection hidden="1"/>
    </xf>
    <xf numFmtId="166" fontId="3" fillId="0" borderId="25" xfId="2" applyNumberFormat="1" applyFont="1" applyBorder="1" applyProtection="1">
      <protection hidden="1"/>
    </xf>
    <xf numFmtId="166" fontId="3" fillId="0" borderId="0" xfId="2" applyNumberFormat="1" applyFont="1" applyBorder="1" applyAlignment="1" applyProtection="1">
      <alignment horizontal="center"/>
      <protection hidden="1"/>
    </xf>
    <xf numFmtId="2" fontId="3" fillId="0" borderId="0" xfId="2" applyNumberFormat="1" applyFont="1" applyBorder="1" applyAlignment="1" applyProtection="1">
      <alignment horizontal="center"/>
      <protection hidden="1"/>
    </xf>
    <xf numFmtId="167" fontId="3" fillId="0" borderId="0" xfId="2" applyNumberFormat="1" applyFont="1" applyBorder="1" applyAlignment="1" applyProtection="1">
      <alignment horizontal="center"/>
      <protection hidden="1"/>
    </xf>
    <xf numFmtId="0" fontId="3" fillId="0" borderId="26" xfId="2" applyFont="1" applyBorder="1" applyAlignment="1" applyProtection="1">
      <alignment horizontal="center"/>
      <protection hidden="1"/>
    </xf>
    <xf numFmtId="0" fontId="3" fillId="0" borderId="27" xfId="2" applyFont="1" applyBorder="1" applyAlignment="1" applyProtection="1">
      <alignment horizontal="center"/>
      <protection hidden="1"/>
    </xf>
    <xf numFmtId="166" fontId="3" fillId="0" borderId="0" xfId="2" applyNumberFormat="1" applyFont="1" applyBorder="1" applyProtection="1">
      <protection hidden="1"/>
    </xf>
    <xf numFmtId="166" fontId="3" fillId="0" borderId="16" xfId="2" applyNumberFormat="1" applyFont="1" applyBorder="1" applyProtection="1">
      <protection hidden="1"/>
    </xf>
    <xf numFmtId="0" fontId="3" fillId="4" borderId="28" xfId="2" applyFont="1" applyFill="1" applyBorder="1" applyProtection="1">
      <protection hidden="1"/>
    </xf>
    <xf numFmtId="0" fontId="4" fillId="4" borderId="3" xfId="2" applyFont="1" applyFill="1" applyBorder="1" applyAlignment="1" applyProtection="1">
      <alignment horizontal="right"/>
      <protection hidden="1"/>
    </xf>
    <xf numFmtId="0" fontId="3" fillId="4" borderId="3" xfId="2" applyFont="1" applyFill="1" applyBorder="1" applyAlignment="1" applyProtection="1">
      <alignment horizontal="right"/>
      <protection hidden="1"/>
    </xf>
    <xf numFmtId="0" fontId="3" fillId="4" borderId="3" xfId="2" applyFont="1" applyFill="1" applyBorder="1" applyAlignment="1" applyProtection="1">
      <alignment horizontal="left"/>
      <protection locked="0" hidden="1"/>
    </xf>
    <xf numFmtId="0" fontId="3" fillId="4" borderId="3" xfId="2" applyFont="1" applyFill="1" applyBorder="1" applyAlignment="1" applyProtection="1">
      <alignment horizontal="left"/>
      <protection hidden="1"/>
    </xf>
    <xf numFmtId="0" fontId="3" fillId="4" borderId="3" xfId="2" applyFont="1" applyFill="1" applyBorder="1" applyProtection="1">
      <protection hidden="1"/>
    </xf>
    <xf numFmtId="0" fontId="3" fillId="0" borderId="29" xfId="2" applyFont="1" applyBorder="1" applyAlignment="1" applyProtection="1">
      <alignment horizontal="center"/>
      <protection hidden="1"/>
    </xf>
    <xf numFmtId="0" fontId="3" fillId="0" borderId="30" xfId="2" applyFont="1" applyBorder="1" applyAlignment="1" applyProtection="1">
      <alignment horizontal="center"/>
      <protection hidden="1"/>
    </xf>
    <xf numFmtId="0" fontId="3" fillId="0" borderId="31" xfId="2" applyFont="1" applyBorder="1" applyAlignment="1" applyProtection="1">
      <alignment horizontal="center"/>
      <protection hidden="1"/>
    </xf>
    <xf numFmtId="0" fontId="3" fillId="4" borderId="15" xfId="2" applyFont="1" applyFill="1" applyBorder="1" applyProtection="1">
      <protection hidden="1"/>
    </xf>
    <xf numFmtId="0" fontId="3" fillId="4" borderId="0" xfId="2" applyFont="1" applyFill="1" applyBorder="1" applyProtection="1">
      <protection hidden="1"/>
    </xf>
    <xf numFmtId="0" fontId="3" fillId="4" borderId="0" xfId="2" applyFont="1" applyFill="1" applyBorder="1" applyAlignment="1" applyProtection="1">
      <alignment horizontal="right"/>
      <protection hidden="1"/>
    </xf>
    <xf numFmtId="0" fontId="3" fillId="4" borderId="0" xfId="2" applyFont="1" applyFill="1" applyBorder="1" applyAlignment="1" applyProtection="1">
      <alignment horizontal="left"/>
      <protection locked="0" hidden="1"/>
    </xf>
    <xf numFmtId="0" fontId="4" fillId="4" borderId="0" xfId="2" applyFont="1" applyFill="1" applyBorder="1" applyAlignment="1" applyProtection="1">
      <alignment horizontal="right"/>
      <protection hidden="1"/>
    </xf>
    <xf numFmtId="0" fontId="3" fillId="0" borderId="32" xfId="2" applyFont="1" applyBorder="1" applyAlignment="1" applyProtection="1">
      <alignment horizontal="left"/>
      <protection hidden="1"/>
    </xf>
    <xf numFmtId="0" fontId="3" fillId="0" borderId="0" xfId="2" applyFont="1" applyBorder="1" applyAlignment="1" applyProtection="1">
      <alignment horizontal="right"/>
      <protection hidden="1"/>
    </xf>
    <xf numFmtId="0" fontId="4" fillId="0" borderId="0" xfId="2" applyFont="1" applyBorder="1" applyAlignment="1" applyProtection="1">
      <alignment horizontal="left"/>
      <protection hidden="1"/>
    </xf>
    <xf numFmtId="0" fontId="3" fillId="0" borderId="28" xfId="2" applyFont="1" applyBorder="1" applyProtection="1">
      <protection hidden="1"/>
    </xf>
    <xf numFmtId="0" fontId="3" fillId="0" borderId="3" xfId="2" applyFont="1" applyBorder="1" applyProtection="1">
      <protection hidden="1"/>
    </xf>
    <xf numFmtId="0" fontId="3" fillId="0" borderId="3" xfId="2" applyFont="1" applyBorder="1" applyAlignment="1" applyProtection="1">
      <alignment horizontal="right"/>
      <protection hidden="1"/>
    </xf>
    <xf numFmtId="0" fontId="3" fillId="0" borderId="33" xfId="2" applyFont="1" applyBorder="1" applyAlignment="1" applyProtection="1">
      <alignment horizontal="left"/>
      <protection hidden="1"/>
    </xf>
    <xf numFmtId="2" fontId="3" fillId="0" borderId="0" xfId="2" applyNumberFormat="1" applyFont="1" applyFill="1" applyBorder="1" applyAlignment="1" applyProtection="1">
      <alignment horizontal="center"/>
      <protection locked="0" hidden="1"/>
    </xf>
    <xf numFmtId="0" fontId="3" fillId="0" borderId="34" xfId="2" applyFont="1" applyBorder="1" applyAlignment="1" applyProtection="1">
      <alignment horizontal="left"/>
      <protection hidden="1"/>
    </xf>
    <xf numFmtId="167" fontId="4" fillId="0" borderId="0" xfId="2" applyNumberFormat="1" applyFont="1" applyBorder="1" applyAlignment="1" applyProtection="1">
      <alignment horizontal="center"/>
      <protection hidden="1"/>
    </xf>
    <xf numFmtId="0" fontId="4" fillId="0" borderId="0" xfId="2" applyFont="1" applyBorder="1" applyProtection="1">
      <protection hidden="1"/>
    </xf>
    <xf numFmtId="0" fontId="3" fillId="0" borderId="0" xfId="2" applyFont="1"/>
    <xf numFmtId="167" fontId="3" fillId="0" borderId="0" xfId="2" applyNumberFormat="1" applyFont="1" applyBorder="1" applyAlignment="1" applyProtection="1">
      <alignment horizontal="right"/>
      <protection hidden="1"/>
    </xf>
    <xf numFmtId="167" fontId="3" fillId="0" borderId="0" xfId="2" applyNumberFormat="1" applyFont="1" applyBorder="1" applyAlignment="1" applyProtection="1">
      <alignment horizontal="center"/>
      <protection locked="0" hidden="1"/>
    </xf>
    <xf numFmtId="173" fontId="3" fillId="0" borderId="0" xfId="2" applyNumberFormat="1" applyFont="1" applyBorder="1" applyAlignment="1" applyProtection="1">
      <alignment horizontal="center"/>
      <protection hidden="1"/>
    </xf>
    <xf numFmtId="1" fontId="3" fillId="0" borderId="0" xfId="2" applyNumberFormat="1" applyFont="1" applyBorder="1" applyAlignment="1" applyProtection="1">
      <alignment horizontal="center"/>
      <protection hidden="1"/>
    </xf>
    <xf numFmtId="0" fontId="3" fillId="4" borderId="25" xfId="2" applyFont="1" applyFill="1" applyBorder="1" applyProtection="1">
      <protection hidden="1"/>
    </xf>
    <xf numFmtId="0" fontId="3" fillId="4" borderId="16" xfId="2" applyFont="1" applyFill="1" applyBorder="1" applyProtection="1">
      <protection hidden="1"/>
    </xf>
    <xf numFmtId="0" fontId="20" fillId="4" borderId="0" xfId="2" applyFont="1" applyFill="1" applyBorder="1" applyAlignment="1" applyProtection="1">
      <alignment horizontal="right"/>
      <protection hidden="1"/>
    </xf>
    <xf numFmtId="0" fontId="3" fillId="4" borderId="35" xfId="2" applyFont="1" applyFill="1" applyBorder="1" applyProtection="1">
      <protection hidden="1"/>
    </xf>
    <xf numFmtId="0" fontId="3" fillId="4" borderId="6" xfId="2" applyFont="1" applyFill="1" applyBorder="1"/>
    <xf numFmtId="0" fontId="3" fillId="4" borderId="6" xfId="2" applyFont="1" applyFill="1" applyBorder="1" applyProtection="1">
      <protection hidden="1"/>
    </xf>
    <xf numFmtId="0" fontId="3" fillId="0" borderId="15" xfId="2" applyFont="1" applyFill="1" applyBorder="1" applyProtection="1">
      <protection hidden="1"/>
    </xf>
    <xf numFmtId="0" fontId="4" fillId="0" borderId="0" xfId="2" applyFont="1" applyFill="1" applyBorder="1"/>
    <xf numFmtId="0" fontId="3" fillId="0" borderId="0" xfId="2" applyFont="1" applyFill="1" applyBorder="1"/>
    <xf numFmtId="0" fontId="3" fillId="0" borderId="0" xfId="2" applyFont="1" applyFill="1" applyBorder="1" applyProtection="1">
      <protection hidden="1"/>
    </xf>
    <xf numFmtId="169" fontId="3" fillId="4" borderId="16" xfId="2" applyNumberFormat="1" applyFont="1" applyFill="1" applyBorder="1" applyAlignment="1" applyProtection="1">
      <alignment horizontal="left"/>
      <protection hidden="1"/>
    </xf>
    <xf numFmtId="0" fontId="3" fillId="0" borderId="0" xfId="2" applyFont="1" applyFill="1" applyBorder="1" applyAlignment="1">
      <alignment horizontal="center"/>
    </xf>
    <xf numFmtId="9" fontId="3" fillId="0" borderId="0" xfId="2" applyNumberFormat="1" applyFont="1" applyFill="1" applyBorder="1" applyAlignment="1">
      <alignment horizontal="center"/>
    </xf>
    <xf numFmtId="167" fontId="3" fillId="0" borderId="0" xfId="2" applyNumberFormat="1" applyFont="1" applyFill="1" applyBorder="1" applyAlignment="1">
      <alignment horizontal="center"/>
    </xf>
    <xf numFmtId="168" fontId="3" fillId="0" borderId="0" xfId="3" applyNumberFormat="1" applyFont="1" applyFill="1" applyBorder="1" applyAlignment="1">
      <alignment horizontal="center"/>
    </xf>
    <xf numFmtId="168" fontId="3" fillId="4" borderId="16" xfId="2" applyNumberFormat="1" applyFont="1" applyFill="1" applyBorder="1" applyAlignment="1" applyProtection="1">
      <alignment horizontal="left"/>
      <protection hidden="1"/>
    </xf>
    <xf numFmtId="0" fontId="3" fillId="0" borderId="17" xfId="2" applyFont="1" applyFill="1" applyBorder="1"/>
    <xf numFmtId="0" fontId="3" fillId="0" borderId="18" xfId="2" applyFont="1" applyFill="1" applyBorder="1"/>
    <xf numFmtId="0" fontId="20" fillId="0" borderId="18" xfId="2" applyFont="1" applyFill="1" applyBorder="1" applyAlignment="1" applyProtection="1">
      <alignment horizontal="right"/>
      <protection hidden="1"/>
    </xf>
    <xf numFmtId="168" fontId="3" fillId="0" borderId="18" xfId="2" applyNumberFormat="1" applyFont="1" applyFill="1" applyBorder="1" applyAlignment="1" applyProtection="1">
      <alignment horizontal="left"/>
      <protection hidden="1"/>
    </xf>
    <xf numFmtId="0" fontId="3" fillId="0" borderId="18" xfId="2" applyFont="1" applyFill="1" applyBorder="1" applyProtection="1">
      <protection hidden="1"/>
    </xf>
    <xf numFmtId="0" fontId="3" fillId="4" borderId="18" xfId="2" applyFont="1" applyFill="1" applyBorder="1" applyProtection="1">
      <protection hidden="1"/>
    </xf>
    <xf numFmtId="0" fontId="3" fillId="4" borderId="19" xfId="2" applyFont="1" applyFill="1" applyBorder="1" applyProtection="1">
      <protection hidden="1"/>
    </xf>
    <xf numFmtId="9" fontId="3" fillId="0" borderId="0" xfId="2" applyNumberFormat="1" applyFont="1" applyBorder="1" applyAlignment="1" applyProtection="1">
      <alignment horizontal="center"/>
      <protection hidden="1"/>
    </xf>
    <xf numFmtId="0" fontId="3" fillId="0" borderId="36" xfId="2" applyFont="1" applyBorder="1" applyAlignment="1" applyProtection="1">
      <alignment horizontal="center"/>
      <protection hidden="1"/>
    </xf>
    <xf numFmtId="0" fontId="3" fillId="0" borderId="37" xfId="2" applyFont="1" applyBorder="1" applyAlignment="1" applyProtection="1">
      <alignment horizontal="center"/>
      <protection hidden="1"/>
    </xf>
    <xf numFmtId="0" fontId="3" fillId="0" borderId="9" xfId="2" applyFont="1" applyBorder="1" applyAlignment="1" applyProtection="1">
      <alignment horizontal="center"/>
      <protection hidden="1"/>
    </xf>
    <xf numFmtId="0" fontId="3" fillId="0" borderId="38" xfId="2" applyFont="1" applyBorder="1" applyAlignment="1" applyProtection="1">
      <alignment horizontal="center"/>
      <protection hidden="1"/>
    </xf>
    <xf numFmtId="169" fontId="3" fillId="0" borderId="9" xfId="2" applyNumberFormat="1" applyFont="1" applyBorder="1" applyAlignment="1" applyProtection="1">
      <alignment horizontal="center"/>
      <protection hidden="1"/>
    </xf>
    <xf numFmtId="164" fontId="3" fillId="0" borderId="0" xfId="0" applyNumberFormat="1" applyFont="1" applyBorder="1" applyAlignment="1" applyProtection="1">
      <alignment horizontal="center"/>
      <protection hidden="1"/>
    </xf>
    <xf numFmtId="1" fontId="3" fillId="0" borderId="0" xfId="0" applyNumberFormat="1" applyFont="1" applyBorder="1" applyAlignment="1" applyProtection="1">
      <alignment horizontal="center"/>
      <protection hidden="1"/>
    </xf>
    <xf numFmtId="164" fontId="3" fillId="0" borderId="6" xfId="0" applyNumberFormat="1" applyFont="1" applyBorder="1" applyAlignment="1" applyProtection="1">
      <alignment horizontal="center"/>
      <protection hidden="1"/>
    </xf>
    <xf numFmtId="1" fontId="3" fillId="0" borderId="6" xfId="0" applyNumberFormat="1" applyFont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left"/>
      <protection hidden="1"/>
    </xf>
    <xf numFmtId="1" fontId="3" fillId="0" borderId="0" xfId="0" applyNumberFormat="1" applyFont="1" applyAlignment="1" applyProtection="1">
      <alignment horizontal="left"/>
      <protection hidden="1"/>
    </xf>
    <xf numFmtId="1" fontId="3" fillId="0" borderId="0" xfId="0" applyNumberFormat="1" applyFont="1" applyAlignment="1" applyProtection="1">
      <alignment horizontal="center"/>
      <protection hidden="1"/>
    </xf>
    <xf numFmtId="1" fontId="3" fillId="0" borderId="0" xfId="0" applyNumberFormat="1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/>
      <protection hidden="1"/>
    </xf>
    <xf numFmtId="0" fontId="26" fillId="0" borderId="0" xfId="0" applyFont="1" applyProtection="1">
      <protection hidden="1"/>
    </xf>
    <xf numFmtId="0" fontId="4" fillId="4" borderId="0" xfId="2" applyFont="1" applyFill="1" applyBorder="1" applyAlignment="1" applyProtection="1">
      <alignment horizontal="left"/>
      <protection hidden="1"/>
    </xf>
    <xf numFmtId="9" fontId="3" fillId="4" borderId="0" xfId="2" applyNumberFormat="1" applyFont="1" applyFill="1" applyBorder="1" applyAlignment="1" applyProtection="1">
      <protection hidden="1"/>
    </xf>
    <xf numFmtId="0" fontId="4" fillId="4" borderId="13" xfId="2" applyFont="1" applyFill="1" applyBorder="1" applyAlignment="1" applyProtection="1">
      <alignment horizontal="left"/>
      <protection hidden="1"/>
    </xf>
    <xf numFmtId="167" fontId="3" fillId="0" borderId="3" xfId="2" applyNumberFormat="1" applyFont="1" applyBorder="1" applyAlignment="1" applyProtection="1">
      <alignment horizontal="right"/>
      <protection hidden="1"/>
    </xf>
    <xf numFmtId="169" fontId="3" fillId="0" borderId="0" xfId="2" applyNumberFormat="1" applyFont="1" applyBorder="1" applyAlignment="1" applyProtection="1">
      <alignment horizontal="right"/>
      <protection hidden="1"/>
    </xf>
    <xf numFmtId="0" fontId="4" fillId="4" borderId="13" xfId="2" applyFont="1" applyFill="1" applyBorder="1" applyAlignment="1" applyProtection="1">
      <alignment horizontal="right"/>
      <protection hidden="1"/>
    </xf>
    <xf numFmtId="0" fontId="3" fillId="4" borderId="16" xfId="2" applyFont="1" applyFill="1" applyBorder="1" applyAlignment="1" applyProtection="1">
      <alignment horizontal="center"/>
      <protection hidden="1"/>
    </xf>
    <xf numFmtId="0" fontId="3" fillId="4" borderId="16" xfId="2" applyFont="1" applyFill="1" applyBorder="1" applyAlignment="1" applyProtection="1">
      <alignment horizontal="center"/>
      <protection locked="0" hidden="1"/>
    </xf>
    <xf numFmtId="0" fontId="3" fillId="0" borderId="25" xfId="2" applyFont="1" applyBorder="1" applyProtection="1">
      <protection hidden="1"/>
    </xf>
    <xf numFmtId="0" fontId="4" fillId="0" borderId="16" xfId="2" applyFont="1" applyBorder="1" applyAlignment="1" applyProtection="1">
      <alignment horizontal="right"/>
      <protection hidden="1"/>
    </xf>
    <xf numFmtId="0" fontId="3" fillId="0" borderId="16" xfId="2" applyFont="1" applyBorder="1" applyAlignment="1" applyProtection="1">
      <alignment horizontal="center"/>
      <protection hidden="1"/>
    </xf>
    <xf numFmtId="167" fontId="3" fillId="0" borderId="16" xfId="2" applyNumberFormat="1" applyFont="1" applyBorder="1" applyAlignment="1" applyProtection="1">
      <alignment horizontal="right"/>
      <protection hidden="1"/>
    </xf>
    <xf numFmtId="0" fontId="4" fillId="4" borderId="25" xfId="2" applyFont="1" applyFill="1" applyBorder="1" applyProtection="1">
      <protection hidden="1"/>
    </xf>
    <xf numFmtId="166" fontId="4" fillId="4" borderId="16" xfId="2" applyNumberFormat="1" applyFont="1" applyFill="1" applyBorder="1" applyAlignment="1" applyProtection="1">
      <alignment horizontal="left"/>
      <protection hidden="1"/>
    </xf>
    <xf numFmtId="0" fontId="3" fillId="4" borderId="39" xfId="2" applyFont="1" applyFill="1" applyBorder="1" applyProtection="1">
      <protection hidden="1"/>
    </xf>
    <xf numFmtId="0" fontId="3" fillId="0" borderId="19" xfId="2" applyFont="1" applyFill="1" applyBorder="1" applyProtection="1">
      <protection hidden="1"/>
    </xf>
    <xf numFmtId="0" fontId="4" fillId="0" borderId="0" xfId="2" applyFont="1" applyFill="1" applyBorder="1" applyAlignment="1" applyProtection="1">
      <alignment horizontal="right"/>
      <protection hidden="1"/>
    </xf>
    <xf numFmtId="168" fontId="3" fillId="0" borderId="16" xfId="2" applyNumberFormat="1" applyFont="1" applyFill="1" applyBorder="1" applyAlignment="1" applyProtection="1">
      <alignment horizontal="left"/>
      <protection hidden="1"/>
    </xf>
    <xf numFmtId="0" fontId="2" fillId="0" borderId="18" xfId="2" applyFont="1" applyFill="1" applyBorder="1" applyAlignment="1">
      <alignment horizontal="right"/>
    </xf>
    <xf numFmtId="0" fontId="2" fillId="0" borderId="18" xfId="2" applyFont="1" applyFill="1" applyBorder="1" applyAlignment="1">
      <alignment horizontal="left"/>
    </xf>
    <xf numFmtId="0" fontId="28" fillId="0" borderId="0" xfId="0" applyFont="1" applyAlignment="1" applyProtection="1">
      <alignment horizontal="left"/>
      <protection hidden="1"/>
    </xf>
    <xf numFmtId="0" fontId="4" fillId="4" borderId="40" xfId="2" applyFont="1" applyFill="1" applyBorder="1" applyAlignment="1" applyProtection="1">
      <alignment horizontal="left"/>
      <protection hidden="1"/>
    </xf>
    <xf numFmtId="9" fontId="4" fillId="4" borderId="3" xfId="2" applyNumberFormat="1" applyFont="1" applyFill="1" applyBorder="1" applyAlignment="1" applyProtection="1">
      <alignment horizontal="right"/>
      <protection hidden="1"/>
    </xf>
    <xf numFmtId="168" fontId="3" fillId="4" borderId="0" xfId="3" applyNumberFormat="1" applyFont="1" applyFill="1" applyBorder="1" applyAlignment="1" applyProtection="1">
      <alignment horizontal="left"/>
      <protection hidden="1"/>
    </xf>
    <xf numFmtId="2" fontId="3" fillId="4" borderId="0" xfId="2" applyNumberFormat="1" applyFont="1" applyFill="1" applyBorder="1" applyAlignment="1" applyProtection="1">
      <alignment horizontal="left"/>
      <protection hidden="1"/>
    </xf>
    <xf numFmtId="0" fontId="29" fillId="4" borderId="0" xfId="2" applyFont="1" applyFill="1" applyBorder="1" applyAlignment="1" applyProtection="1">
      <alignment horizontal="right"/>
      <protection hidden="1"/>
    </xf>
    <xf numFmtId="0" fontId="2" fillId="0" borderId="0" xfId="2" applyFont="1" applyAlignment="1" applyProtection="1">
      <alignment horizontal="left"/>
      <protection locked="0" hidden="1"/>
    </xf>
    <xf numFmtId="0" fontId="27" fillId="0" borderId="0" xfId="2" applyFont="1" applyProtection="1">
      <protection locked="0" hidden="1"/>
    </xf>
    <xf numFmtId="0" fontId="4" fillId="0" borderId="0" xfId="2" applyFont="1" applyFill="1" applyAlignment="1" applyProtection="1">
      <alignment horizontal="center"/>
      <protection hidden="1"/>
    </xf>
    <xf numFmtId="0" fontId="4" fillId="0" borderId="0" xfId="2" applyFont="1" applyFill="1" applyAlignment="1" applyProtection="1">
      <alignment horizontal="left"/>
      <protection hidden="1"/>
    </xf>
    <xf numFmtId="167" fontId="4" fillId="0" borderId="20" xfId="2" applyNumberFormat="1" applyFont="1" applyFill="1" applyBorder="1" applyAlignment="1" applyProtection="1">
      <alignment horizontal="left"/>
      <protection hidden="1"/>
    </xf>
    <xf numFmtId="167" fontId="4" fillId="0" borderId="9" xfId="2" applyNumberFormat="1" applyFont="1" applyFill="1" applyBorder="1" applyAlignment="1" applyProtection="1">
      <alignment horizontal="center"/>
      <protection locked="0" hidden="1"/>
    </xf>
    <xf numFmtId="167" fontId="4" fillId="0" borderId="1" xfId="2" applyNumberFormat="1" applyFont="1" applyFill="1" applyBorder="1" applyAlignment="1" applyProtection="1">
      <alignment horizontal="center"/>
      <protection locked="0" hidden="1"/>
    </xf>
    <xf numFmtId="2" fontId="4" fillId="0" borderId="1" xfId="2" applyNumberFormat="1" applyFont="1" applyFill="1" applyBorder="1" applyAlignment="1" applyProtection="1">
      <alignment horizontal="center"/>
      <protection locked="0" hidden="1"/>
    </xf>
    <xf numFmtId="169" fontId="4" fillId="0" borderId="1" xfId="2" applyNumberFormat="1" applyFont="1" applyFill="1" applyBorder="1" applyAlignment="1" applyProtection="1">
      <alignment horizontal="center"/>
      <protection locked="0" hidden="1"/>
    </xf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168" fontId="3" fillId="0" borderId="0" xfId="0" applyNumberFormat="1" applyFont="1" applyAlignment="1" applyProtection="1">
      <alignment horizontal="center"/>
    </xf>
    <xf numFmtId="10" fontId="3" fillId="0" borderId="0" xfId="0" applyNumberFormat="1" applyFont="1" applyAlignment="1" applyProtection="1">
      <alignment horizontal="center"/>
    </xf>
    <xf numFmtId="2" fontId="3" fillId="0" borderId="0" xfId="0" applyNumberFormat="1" applyFont="1" applyAlignment="1" applyProtection="1">
      <alignment horizontal="center"/>
    </xf>
    <xf numFmtId="10" fontId="3" fillId="0" borderId="0" xfId="0" applyNumberFormat="1" applyFont="1" applyProtection="1"/>
    <xf numFmtId="168" fontId="3" fillId="0" borderId="0" xfId="0" applyNumberFormat="1" applyFont="1" applyProtection="1"/>
    <xf numFmtId="169" fontId="3" fillId="0" borderId="0" xfId="0" applyNumberFormat="1" applyFont="1" applyProtection="1"/>
    <xf numFmtId="0" fontId="5" fillId="0" borderId="0" xfId="0" applyFont="1" applyProtection="1">
      <protection hidden="1"/>
    </xf>
    <xf numFmtId="0" fontId="5" fillId="0" borderId="0" xfId="0" applyFont="1" applyAlignment="1" applyProtection="1">
      <alignment horizontal="center"/>
      <protection hidden="1"/>
    </xf>
    <xf numFmtId="2" fontId="3" fillId="0" borderId="0" xfId="0" applyNumberFormat="1" applyFont="1" applyProtection="1"/>
    <xf numFmtId="0" fontId="3" fillId="0" borderId="6" xfId="0" applyFont="1" applyBorder="1" applyAlignment="1" applyProtection="1">
      <alignment horizontal="center"/>
    </xf>
    <xf numFmtId="0" fontId="3" fillId="0" borderId="6" xfId="0" applyFont="1" applyBorder="1" applyProtection="1"/>
    <xf numFmtId="168" fontId="3" fillId="0" borderId="6" xfId="0" applyNumberFormat="1" applyFont="1" applyBorder="1" applyProtection="1"/>
    <xf numFmtId="2" fontId="3" fillId="0" borderId="6" xfId="0" applyNumberFormat="1" applyFont="1" applyBorder="1" applyProtection="1"/>
    <xf numFmtId="169" fontId="3" fillId="0" borderId="0" xfId="0" applyNumberFormat="1" applyFont="1" applyAlignment="1" applyProtection="1">
      <alignment horizontal="center"/>
    </xf>
    <xf numFmtId="0" fontId="3" fillId="0" borderId="0" xfId="0" applyFont="1" applyAlignment="1" applyProtection="1">
      <alignment horizontal="right"/>
    </xf>
    <xf numFmtId="0" fontId="3" fillId="0" borderId="0" xfId="0" applyFont="1" applyProtection="1">
      <protection locked="0"/>
    </xf>
    <xf numFmtId="2" fontId="5" fillId="2" borderId="0" xfId="0" applyNumberFormat="1" applyFont="1" applyFill="1" applyBorder="1" applyAlignment="1" applyProtection="1">
      <alignment horizontal="center"/>
      <protection locked="0" hidden="1"/>
    </xf>
    <xf numFmtId="2" fontId="9" fillId="2" borderId="0" xfId="0" applyNumberFormat="1" applyFont="1" applyFill="1" applyBorder="1" applyAlignment="1" applyProtection="1">
      <alignment horizontal="center"/>
      <protection locked="0" hidden="1"/>
    </xf>
    <xf numFmtId="0" fontId="31" fillId="0" borderId="0" xfId="0" applyFont="1" applyProtection="1"/>
    <xf numFmtId="0" fontId="4" fillId="0" borderId="0" xfId="0" applyFont="1" applyAlignment="1" applyProtection="1">
      <alignment horizontal="right"/>
    </xf>
    <xf numFmtId="167" fontId="3" fillId="0" borderId="0" xfId="0" applyNumberFormat="1" applyFont="1" applyProtection="1"/>
    <xf numFmtId="0" fontId="31" fillId="0" borderId="0" xfId="0" applyFont="1" applyAlignment="1" applyProtection="1">
      <alignment horizontal="right"/>
    </xf>
    <xf numFmtId="167" fontId="3" fillId="0" borderId="0" xfId="0" applyNumberFormat="1" applyFont="1" applyProtection="1">
      <protection locked="0"/>
    </xf>
    <xf numFmtId="0" fontId="33" fillId="0" borderId="0" xfId="0" applyFont="1" applyAlignment="1" applyProtection="1">
      <alignment horizontal="right"/>
    </xf>
    <xf numFmtId="166" fontId="32" fillId="0" borderId="0" xfId="2" applyNumberFormat="1" applyFont="1" applyBorder="1" applyAlignment="1" applyProtection="1">
      <alignment horizontal="right"/>
      <protection hidden="1"/>
    </xf>
    <xf numFmtId="14" fontId="31" fillId="0" borderId="0" xfId="2" applyNumberFormat="1" applyFont="1" applyBorder="1" applyAlignment="1" applyProtection="1">
      <alignment horizontal="left"/>
      <protection hidden="1"/>
    </xf>
    <xf numFmtId="0" fontId="34" fillId="0" borderId="0" xfId="0" applyFont="1"/>
    <xf numFmtId="0" fontId="32" fillId="0" borderId="0" xfId="2" applyFont="1" applyBorder="1" applyAlignment="1" applyProtection="1">
      <alignment horizontal="right"/>
      <protection hidden="1"/>
    </xf>
    <xf numFmtId="0" fontId="34" fillId="0" borderId="0" xfId="0" applyFont="1" applyAlignment="1">
      <alignment horizontal="right"/>
    </xf>
    <xf numFmtId="168" fontId="34" fillId="0" borderId="0" xfId="0" applyNumberFormat="1" applyFont="1"/>
    <xf numFmtId="166" fontId="4" fillId="0" borderId="13" xfId="2" applyNumberFormat="1" applyFont="1" applyBorder="1" applyAlignment="1" applyProtection="1">
      <alignment horizontal="right"/>
      <protection hidden="1"/>
    </xf>
    <xf numFmtId="168" fontId="3" fillId="0" borderId="0" xfId="0" applyNumberFormat="1" applyFont="1" applyProtection="1">
      <protection locked="0"/>
    </xf>
    <xf numFmtId="3" fontId="3" fillId="0" borderId="0" xfId="2" applyNumberFormat="1" applyFont="1" applyBorder="1" applyAlignment="1" applyProtection="1">
      <alignment horizontal="center"/>
      <protection hidden="1"/>
    </xf>
    <xf numFmtId="3" fontId="4" fillId="0" borderId="0" xfId="2" applyNumberFormat="1" applyFont="1" applyBorder="1" applyAlignment="1" applyProtection="1">
      <alignment horizontal="center"/>
      <protection hidden="1"/>
    </xf>
    <xf numFmtId="0" fontId="3" fillId="0" borderId="21" xfId="2" applyFont="1" applyBorder="1" applyAlignment="1" applyProtection="1">
      <alignment horizontal="right"/>
      <protection hidden="1"/>
    </xf>
    <xf numFmtId="0" fontId="4" fillId="0" borderId="21" xfId="2" applyFont="1" applyBorder="1" applyAlignment="1" applyProtection="1">
      <alignment horizontal="center"/>
      <protection hidden="1"/>
    </xf>
    <xf numFmtId="0" fontId="3" fillId="0" borderId="16" xfId="2" applyFont="1" applyFill="1" applyBorder="1" applyAlignment="1">
      <alignment horizontal="center"/>
    </xf>
    <xf numFmtId="168" fontId="3" fillId="0" borderId="16" xfId="3" applyNumberFormat="1" applyFont="1" applyFill="1" applyBorder="1" applyAlignment="1">
      <alignment horizontal="center"/>
    </xf>
    <xf numFmtId="0" fontId="3" fillId="0" borderId="0" xfId="2" applyFont="1" applyFill="1" applyBorder="1" applyAlignment="1">
      <alignment horizontal="left"/>
    </xf>
    <xf numFmtId="0" fontId="3" fillId="0" borderId="0" xfId="2" applyFont="1" applyFill="1" applyBorder="1" applyAlignment="1">
      <alignment horizontal="right"/>
    </xf>
    <xf numFmtId="0" fontId="3" fillId="0" borderId="41" xfId="2" applyFont="1" applyFill="1" applyBorder="1" applyAlignment="1">
      <alignment horizontal="center"/>
    </xf>
    <xf numFmtId="9" fontId="3" fillId="0" borderId="41" xfId="2" applyNumberFormat="1" applyFont="1" applyFill="1" applyBorder="1" applyAlignment="1" applyProtection="1">
      <alignment horizontal="center"/>
      <protection hidden="1"/>
    </xf>
    <xf numFmtId="9" fontId="3" fillId="0" borderId="21" xfId="2" applyNumberFormat="1" applyFont="1" applyFill="1" applyBorder="1" applyAlignment="1">
      <alignment horizontal="center"/>
    </xf>
    <xf numFmtId="167" fontId="3" fillId="0" borderId="21" xfId="2" applyNumberFormat="1" applyFont="1" applyFill="1" applyBorder="1" applyAlignment="1">
      <alignment horizontal="center"/>
    </xf>
    <xf numFmtId="168" fontId="3" fillId="0" borderId="21" xfId="3" applyNumberFormat="1" applyFont="1" applyFill="1" applyBorder="1" applyAlignment="1">
      <alignment horizontal="center"/>
    </xf>
    <xf numFmtId="9" fontId="3" fillId="0" borderId="42" xfId="2" applyNumberFormat="1" applyFont="1" applyFill="1" applyBorder="1" applyAlignment="1">
      <alignment horizontal="center"/>
    </xf>
    <xf numFmtId="168" fontId="3" fillId="0" borderId="43" xfId="3" applyNumberFormat="1" applyFont="1" applyFill="1" applyBorder="1" applyAlignment="1">
      <alignment horizontal="center"/>
    </xf>
    <xf numFmtId="3" fontId="3" fillId="0" borderId="21" xfId="2" applyNumberFormat="1" applyFont="1" applyBorder="1" applyAlignment="1" applyProtection="1">
      <alignment horizontal="center"/>
      <protection hidden="1"/>
    </xf>
    <xf numFmtId="9" fontId="3" fillId="0" borderId="0" xfId="3" applyFont="1" applyProtection="1"/>
    <xf numFmtId="0" fontId="2" fillId="0" borderId="0" xfId="2" applyFont="1" applyFill="1" applyAlignment="1" applyProtection="1">
      <alignment horizontal="center"/>
      <protection locked="0" hidden="1"/>
    </xf>
    <xf numFmtId="9" fontId="4" fillId="0" borderId="4" xfId="2" applyNumberFormat="1" applyFont="1" applyFill="1" applyBorder="1" applyAlignment="1" applyProtection="1">
      <alignment horizontal="center"/>
      <protection locked="0" hidden="1"/>
    </xf>
    <xf numFmtId="9" fontId="4" fillId="0" borderId="7" xfId="2" applyNumberFormat="1" applyFont="1" applyFill="1" applyBorder="1" applyAlignment="1" applyProtection="1">
      <alignment horizontal="center"/>
      <protection locked="0" hidden="1"/>
    </xf>
    <xf numFmtId="9" fontId="4" fillId="0" borderId="0" xfId="2" applyNumberFormat="1" applyFont="1" applyFill="1" applyBorder="1" applyAlignment="1" applyProtection="1">
      <alignment horizontal="center"/>
      <protection locked="0" hidden="1"/>
    </xf>
    <xf numFmtId="168" fontId="3" fillId="0" borderId="44" xfId="2" applyNumberFormat="1" applyFont="1" applyBorder="1" applyAlignment="1" applyProtection="1">
      <alignment horizontal="center"/>
      <protection hidden="1"/>
    </xf>
    <xf numFmtId="168" fontId="3" fillId="0" borderId="18" xfId="2" applyNumberFormat="1" applyFont="1" applyBorder="1" applyAlignment="1" applyProtection="1">
      <alignment horizontal="center"/>
      <protection hidden="1"/>
    </xf>
    <xf numFmtId="168" fontId="3" fillId="0" borderId="19" xfId="2" applyNumberFormat="1" applyFont="1" applyBorder="1" applyAlignment="1" applyProtection="1">
      <alignment horizontal="center"/>
      <protection hidden="1"/>
    </xf>
    <xf numFmtId="0" fontId="3" fillId="0" borderId="28" xfId="2" applyFont="1" applyBorder="1" applyAlignment="1" applyProtection="1">
      <alignment horizontal="right"/>
      <protection hidden="1"/>
    </xf>
    <xf numFmtId="0" fontId="3" fillId="0" borderId="10" xfId="2" applyFont="1" applyBorder="1" applyAlignment="1" applyProtection="1">
      <alignment horizontal="left"/>
      <protection hidden="1"/>
    </xf>
    <xf numFmtId="166" fontId="20" fillId="0" borderId="1" xfId="2" applyNumberFormat="1" applyFont="1" applyBorder="1" applyAlignment="1" applyProtection="1">
      <alignment horizontal="center"/>
      <protection hidden="1"/>
    </xf>
    <xf numFmtId="166" fontId="3" fillId="0" borderId="4" xfId="2" applyNumberFormat="1" applyFont="1" applyBorder="1" applyAlignment="1" applyProtection="1">
      <alignment horizontal="center"/>
      <protection hidden="1"/>
    </xf>
    <xf numFmtId="0" fontId="3" fillId="0" borderId="45" xfId="2" applyFont="1" applyBorder="1" applyAlignment="1" applyProtection="1">
      <alignment horizontal="right"/>
      <protection hidden="1"/>
    </xf>
    <xf numFmtId="166" fontId="3" fillId="0" borderId="25" xfId="2" applyNumberFormat="1" applyFont="1" applyBorder="1" applyAlignment="1" applyProtection="1">
      <alignment horizontal="center"/>
      <protection hidden="1"/>
    </xf>
    <xf numFmtId="166" fontId="3" fillId="0" borderId="1" xfId="2" applyNumberFormat="1" applyFont="1" applyBorder="1" applyAlignment="1" applyProtection="1">
      <alignment horizontal="center"/>
      <protection hidden="1"/>
    </xf>
    <xf numFmtId="0" fontId="3" fillId="0" borderId="46" xfId="2" applyFont="1" applyBorder="1" applyAlignment="1" applyProtection="1">
      <alignment horizontal="center"/>
      <protection hidden="1"/>
    </xf>
    <xf numFmtId="166" fontId="20" fillId="0" borderId="47" xfId="2" applyNumberFormat="1" applyFont="1" applyBorder="1" applyAlignment="1" applyProtection="1">
      <alignment horizontal="center"/>
      <protection hidden="1"/>
    </xf>
    <xf numFmtId="166" fontId="3" fillId="0" borderId="37" xfId="2" applyNumberFormat="1" applyFont="1" applyBorder="1" applyAlignment="1" applyProtection="1">
      <alignment horizontal="center"/>
      <protection hidden="1"/>
    </xf>
    <xf numFmtId="166" fontId="3" fillId="0" borderId="47" xfId="2" applyNumberFormat="1" applyFont="1" applyBorder="1" applyAlignment="1" applyProtection="1">
      <alignment horizontal="center"/>
      <protection hidden="1"/>
    </xf>
    <xf numFmtId="166" fontId="3" fillId="0" borderId="48" xfId="2" applyNumberFormat="1" applyFont="1" applyBorder="1" applyAlignment="1" applyProtection="1">
      <alignment horizontal="center"/>
      <protection hidden="1"/>
    </xf>
    <xf numFmtId="166" fontId="20" fillId="0" borderId="0" xfId="2" applyNumberFormat="1" applyFont="1" applyBorder="1" applyAlignment="1" applyProtection="1">
      <alignment horizontal="center"/>
      <protection hidden="1"/>
    </xf>
    <xf numFmtId="0" fontId="3" fillId="0" borderId="8" xfId="2" applyFont="1" applyBorder="1" applyProtection="1">
      <protection hidden="1"/>
    </xf>
    <xf numFmtId="166" fontId="20" fillId="0" borderId="0" xfId="2" applyNumberFormat="1" applyFont="1" applyBorder="1" applyAlignment="1" applyProtection="1">
      <alignment horizontal="right"/>
      <protection hidden="1"/>
    </xf>
    <xf numFmtId="166" fontId="3" fillId="0" borderId="8" xfId="2" applyNumberFormat="1" applyFont="1" applyBorder="1" applyAlignment="1" applyProtection="1">
      <alignment horizontal="left"/>
      <protection hidden="1"/>
    </xf>
    <xf numFmtId="168" fontId="3" fillId="0" borderId="49" xfId="2" applyNumberFormat="1" applyFont="1" applyBorder="1" applyAlignment="1" applyProtection="1">
      <alignment horizontal="center"/>
      <protection hidden="1"/>
    </xf>
    <xf numFmtId="168" fontId="3" fillId="0" borderId="50" xfId="2" applyNumberFormat="1" applyFont="1" applyBorder="1" applyAlignment="1" applyProtection="1">
      <alignment horizontal="center"/>
      <protection hidden="1"/>
    </xf>
    <xf numFmtId="168" fontId="3" fillId="0" borderId="8" xfId="2" applyNumberFormat="1" applyFont="1" applyBorder="1" applyAlignment="1" applyProtection="1">
      <alignment horizontal="center"/>
      <protection hidden="1"/>
    </xf>
    <xf numFmtId="2" fontId="3" fillId="0" borderId="20" xfId="2" applyNumberFormat="1" applyFont="1" applyBorder="1" applyAlignment="1" applyProtection="1">
      <alignment horizontal="center"/>
      <protection hidden="1"/>
    </xf>
    <xf numFmtId="2" fontId="3" fillId="0" borderId="1" xfId="2" applyNumberFormat="1" applyFont="1" applyBorder="1" applyAlignment="1" applyProtection="1">
      <alignment horizontal="center"/>
      <protection hidden="1"/>
    </xf>
    <xf numFmtId="168" fontId="3" fillId="0" borderId="51" xfId="2" applyNumberFormat="1" applyFont="1" applyBorder="1" applyAlignment="1" applyProtection="1">
      <alignment horizontal="center"/>
      <protection hidden="1"/>
    </xf>
    <xf numFmtId="169" fontId="3" fillId="0" borderId="52" xfId="2" applyNumberFormat="1" applyFont="1" applyBorder="1" applyAlignment="1" applyProtection="1">
      <alignment horizontal="center"/>
      <protection hidden="1"/>
    </xf>
    <xf numFmtId="0" fontId="2" fillId="0" borderId="53" xfId="2" applyFont="1" applyBorder="1" applyAlignment="1" applyProtection="1">
      <alignment horizontal="right"/>
      <protection hidden="1"/>
    </xf>
    <xf numFmtId="0" fontId="2" fillId="0" borderId="44" xfId="2" applyFont="1" applyBorder="1" applyAlignment="1" applyProtection="1">
      <alignment horizontal="left"/>
      <protection hidden="1"/>
    </xf>
    <xf numFmtId="0" fontId="3" fillId="0" borderId="52" xfId="2" applyFont="1" applyBorder="1" applyAlignment="1" applyProtection="1">
      <alignment horizontal="center"/>
      <protection hidden="1"/>
    </xf>
    <xf numFmtId="168" fontId="3" fillId="0" borderId="54" xfId="2" applyNumberFormat="1" applyFont="1" applyBorder="1" applyAlignment="1" applyProtection="1">
      <alignment horizontal="center"/>
      <protection hidden="1"/>
    </xf>
    <xf numFmtId="168" fontId="3" fillId="0" borderId="55" xfId="2" applyNumberFormat="1" applyFont="1" applyBorder="1" applyAlignment="1" applyProtection="1">
      <alignment horizontal="center"/>
      <protection hidden="1"/>
    </xf>
    <xf numFmtId="0" fontId="11" fillId="0" borderId="26" xfId="2" applyFont="1" applyBorder="1" applyAlignment="1" applyProtection="1">
      <alignment horizontal="right"/>
      <protection hidden="1"/>
    </xf>
    <xf numFmtId="0" fontId="11" fillId="0" borderId="15" xfId="2" applyFont="1" applyBorder="1" applyAlignment="1" applyProtection="1">
      <alignment horizontal="right"/>
      <protection hidden="1"/>
    </xf>
    <xf numFmtId="168" fontId="3" fillId="0" borderId="1" xfId="2" applyNumberFormat="1" applyFont="1" applyBorder="1" applyAlignment="1" applyProtection="1">
      <alignment horizontal="center"/>
      <protection locked="0" hidden="1"/>
    </xf>
    <xf numFmtId="168" fontId="3" fillId="0" borderId="0" xfId="2" applyNumberFormat="1" applyFont="1" applyBorder="1" applyAlignment="1" applyProtection="1">
      <alignment horizontal="center"/>
      <protection locked="0" hidden="1"/>
    </xf>
    <xf numFmtId="168" fontId="3" fillId="0" borderId="16" xfId="2" applyNumberFormat="1" applyFont="1" applyBorder="1" applyAlignment="1" applyProtection="1">
      <alignment horizontal="center"/>
      <protection locked="0" hidden="1"/>
    </xf>
    <xf numFmtId="0" fontId="3" fillId="0" borderId="12" xfId="0" applyFont="1" applyBorder="1" applyProtection="1"/>
    <xf numFmtId="0" fontId="3" fillId="0" borderId="13" xfId="0" applyFont="1" applyBorder="1" applyProtection="1"/>
    <xf numFmtId="0" fontId="3" fillId="0" borderId="14" xfId="0" applyFont="1" applyBorder="1" applyProtection="1"/>
    <xf numFmtId="0" fontId="3" fillId="0" borderId="15" xfId="0" applyFont="1" applyBorder="1" applyProtection="1"/>
    <xf numFmtId="0" fontId="3" fillId="0" borderId="0" xfId="0" applyFont="1" applyBorder="1" applyProtection="1"/>
    <xf numFmtId="0" fontId="3" fillId="0" borderId="16" xfId="0" applyFont="1" applyBorder="1" applyProtection="1"/>
    <xf numFmtId="0" fontId="3" fillId="5" borderId="0" xfId="0" applyFont="1" applyFill="1" applyBorder="1" applyAlignment="1" applyProtection="1">
      <alignment horizontal="right"/>
    </xf>
    <xf numFmtId="0" fontId="3" fillId="0" borderId="0" xfId="0" applyFont="1" applyBorder="1" applyAlignment="1" applyProtection="1">
      <alignment horizontal="center" vertical="center"/>
    </xf>
    <xf numFmtId="0" fontId="3" fillId="0" borderId="56" xfId="0" applyFont="1" applyBorder="1" applyAlignment="1" applyProtection="1">
      <alignment horizontal="right"/>
    </xf>
    <xf numFmtId="197" fontId="3" fillId="0" borderId="23" xfId="0" applyNumberFormat="1" applyFont="1" applyBorder="1" applyAlignment="1" applyProtection="1">
      <alignment horizontal="left"/>
    </xf>
    <xf numFmtId="0" fontId="3" fillId="0" borderId="23" xfId="0" applyFont="1" applyBorder="1" applyAlignment="1" applyProtection="1">
      <alignment horizontal="right"/>
    </xf>
    <xf numFmtId="2" fontId="3" fillId="0" borderId="23" xfId="0" applyNumberFormat="1" applyFont="1" applyBorder="1" applyAlignment="1" applyProtection="1">
      <alignment horizontal="left"/>
    </xf>
    <xf numFmtId="0" fontId="9" fillId="0" borderId="23" xfId="0" applyFont="1" applyBorder="1" applyAlignment="1" applyProtection="1">
      <alignment horizontal="left"/>
    </xf>
    <xf numFmtId="0" fontId="3" fillId="0" borderId="23" xfId="0" applyFont="1" applyBorder="1" applyAlignment="1" applyProtection="1">
      <alignment horizontal="left"/>
    </xf>
    <xf numFmtId="0" fontId="3" fillId="0" borderId="57" xfId="0" applyFont="1" applyBorder="1" applyAlignment="1" applyProtection="1">
      <alignment horizontal="right"/>
    </xf>
    <xf numFmtId="14" fontId="3" fillId="0" borderId="15" xfId="0" applyNumberFormat="1" applyFont="1" applyBorder="1" applyAlignment="1" applyProtection="1">
      <alignment horizontal="right"/>
    </xf>
    <xf numFmtId="1" fontId="3" fillId="0" borderId="0" xfId="0" applyNumberFormat="1" applyFont="1" applyBorder="1" applyAlignment="1" applyProtection="1">
      <alignment horizontal="left"/>
    </xf>
    <xf numFmtId="2" fontId="3" fillId="0" borderId="0" xfId="0" applyNumberFormat="1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right"/>
    </xf>
    <xf numFmtId="2" fontId="3" fillId="0" borderId="0" xfId="3" applyNumberFormat="1" applyFont="1" applyBorder="1" applyAlignment="1" applyProtection="1">
      <alignment horizontal="left"/>
    </xf>
    <xf numFmtId="168" fontId="20" fillId="0" borderId="0" xfId="0" applyNumberFormat="1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10" fontId="3" fillId="0" borderId="16" xfId="0" applyNumberFormat="1" applyFont="1" applyBorder="1" applyAlignment="1" applyProtection="1">
      <alignment horizontal="center"/>
    </xf>
    <xf numFmtId="0" fontId="3" fillId="0" borderId="15" xfId="0" applyFont="1" applyBorder="1" applyAlignment="1" applyProtection="1">
      <alignment horizontal="right"/>
    </xf>
    <xf numFmtId="0" fontId="3" fillId="0" borderId="16" xfId="0" applyFont="1" applyBorder="1" applyAlignment="1" applyProtection="1">
      <alignment horizontal="right"/>
    </xf>
    <xf numFmtId="0" fontId="9" fillId="0" borderId="0" xfId="0" applyFont="1" applyBorder="1" applyProtection="1"/>
    <xf numFmtId="14" fontId="3" fillId="0" borderId="0" xfId="0" applyNumberFormat="1" applyFont="1" applyBorder="1" applyAlignment="1" applyProtection="1">
      <alignment horizontal="left"/>
    </xf>
    <xf numFmtId="0" fontId="3" fillId="0" borderId="0" xfId="0" applyFont="1" applyBorder="1" applyAlignment="1" applyProtection="1">
      <alignment horizontal="center"/>
    </xf>
    <xf numFmtId="0" fontId="20" fillId="0" borderId="0" xfId="0" applyFont="1" applyBorder="1" applyProtection="1"/>
    <xf numFmtId="15" fontId="3" fillId="0" borderId="0" xfId="0" applyNumberFormat="1" applyFont="1" applyBorder="1" applyAlignment="1" applyProtection="1">
      <alignment horizontal="left"/>
    </xf>
    <xf numFmtId="15" fontId="3" fillId="0" borderId="16" xfId="0" applyNumberFormat="1" applyFont="1" applyBorder="1" applyAlignment="1" applyProtection="1">
      <alignment horizontal="right"/>
    </xf>
    <xf numFmtId="15" fontId="3" fillId="0" borderId="16" xfId="0" applyNumberFormat="1" applyFont="1" applyBorder="1" applyAlignment="1" applyProtection="1">
      <alignment horizontal="left"/>
    </xf>
    <xf numFmtId="0" fontId="3" fillId="0" borderId="58" xfId="0" applyFont="1" applyBorder="1" applyAlignment="1" applyProtection="1">
      <alignment horizontal="right"/>
    </xf>
    <xf numFmtId="0" fontId="3" fillId="0" borderId="30" xfId="0" applyFont="1" applyBorder="1" applyProtection="1"/>
    <xf numFmtId="0" fontId="3" fillId="0" borderId="30" xfId="0" applyFont="1" applyBorder="1" applyAlignment="1" applyProtection="1">
      <alignment horizontal="right"/>
    </xf>
    <xf numFmtId="2" fontId="3" fillId="0" borderId="30" xfId="0" applyNumberFormat="1" applyFont="1" applyBorder="1" applyAlignment="1" applyProtection="1">
      <alignment horizontal="left"/>
    </xf>
    <xf numFmtId="2" fontId="3" fillId="0" borderId="30" xfId="0" applyNumberFormat="1" applyFont="1" applyBorder="1" applyAlignment="1" applyProtection="1">
      <alignment horizontal="right"/>
    </xf>
    <xf numFmtId="15" fontId="3" fillId="0" borderId="30" xfId="0" applyNumberFormat="1" applyFont="1" applyBorder="1" applyAlignment="1" applyProtection="1">
      <alignment horizontal="left"/>
    </xf>
    <xf numFmtId="15" fontId="4" fillId="0" borderId="30" xfId="0" applyNumberFormat="1" applyFont="1" applyBorder="1" applyAlignment="1" applyProtection="1">
      <alignment horizontal="right"/>
    </xf>
    <xf numFmtId="15" fontId="3" fillId="0" borderId="59" xfId="0" applyNumberFormat="1" applyFont="1" applyBorder="1" applyAlignment="1" applyProtection="1">
      <alignment horizontal="left"/>
    </xf>
    <xf numFmtId="0" fontId="3" fillId="0" borderId="17" xfId="0" applyFont="1" applyBorder="1" applyProtection="1"/>
    <xf numFmtId="0" fontId="3" fillId="0" borderId="44" xfId="0" applyFont="1" applyBorder="1" applyProtection="1"/>
    <xf numFmtId="0" fontId="3" fillId="0" borderId="18" xfId="0" applyFont="1" applyBorder="1" applyProtection="1"/>
    <xf numFmtId="168" fontId="3" fillId="0" borderId="0" xfId="3" applyNumberFormat="1" applyFont="1" applyAlignment="1" applyProtection="1">
      <alignment horizontal="left"/>
    </xf>
    <xf numFmtId="0" fontId="3" fillId="0" borderId="15" xfId="2" applyFont="1" applyBorder="1" applyAlignment="1" applyProtection="1">
      <alignment horizontal="right"/>
      <protection hidden="1"/>
    </xf>
    <xf numFmtId="0" fontId="3" fillId="0" borderId="60" xfId="2" applyFont="1" applyBorder="1" applyAlignment="1" applyProtection="1">
      <alignment horizontal="right"/>
      <protection hidden="1"/>
    </xf>
    <xf numFmtId="0" fontId="4" fillId="0" borderId="13" xfId="2" applyFont="1" applyBorder="1" applyAlignment="1" applyProtection="1">
      <alignment horizontal="right"/>
      <protection hidden="1"/>
    </xf>
    <xf numFmtId="0" fontId="3" fillId="0" borderId="13" xfId="2" applyFont="1" applyBorder="1" applyAlignment="1" applyProtection="1">
      <alignment horizontal="left"/>
      <protection hidden="1"/>
    </xf>
    <xf numFmtId="2" fontId="31" fillId="0" borderId="0" xfId="2" applyNumberFormat="1" applyFont="1" applyBorder="1" applyAlignment="1" applyProtection="1">
      <alignment horizontal="left"/>
      <protection hidden="1"/>
    </xf>
    <xf numFmtId="0" fontId="32" fillId="0" borderId="0" xfId="0" applyFont="1" applyAlignment="1" applyProtection="1">
      <alignment horizontal="right"/>
    </xf>
    <xf numFmtId="0" fontId="37" fillId="0" borderId="0" xfId="0" applyFont="1" applyAlignment="1" applyProtection="1">
      <alignment horizontal="right"/>
    </xf>
    <xf numFmtId="0" fontId="37" fillId="2" borderId="0" xfId="0" applyFont="1" applyFill="1" applyProtection="1">
      <protection locked="0"/>
    </xf>
    <xf numFmtId="181" fontId="3" fillId="2" borderId="0" xfId="0" applyNumberFormat="1" applyFont="1" applyFill="1" applyProtection="1">
      <protection locked="0"/>
    </xf>
    <xf numFmtId="167" fontId="3" fillId="2" borderId="0" xfId="0" applyNumberFormat="1" applyFont="1" applyFill="1" applyProtection="1">
      <protection locked="0"/>
    </xf>
    <xf numFmtId="0" fontId="34" fillId="2" borderId="0" xfId="0" applyFont="1" applyFill="1" applyProtection="1">
      <protection locked="0"/>
    </xf>
    <xf numFmtId="2" fontId="3" fillId="2" borderId="0" xfId="1" applyNumberFormat="1" applyFont="1" applyFill="1" applyAlignment="1" applyProtection="1">
      <alignment horizontal="center"/>
      <protection locked="0" hidden="1"/>
    </xf>
    <xf numFmtId="10" fontId="3" fillId="2" borderId="0" xfId="1" applyNumberFormat="1" applyFont="1" applyFill="1" applyAlignment="1" applyProtection="1">
      <alignment horizontal="center"/>
      <protection locked="0" hidden="1"/>
    </xf>
    <xf numFmtId="0" fontId="3" fillId="2" borderId="0" xfId="1" applyFont="1" applyFill="1" applyAlignment="1" applyProtection="1">
      <alignment horizontal="center"/>
      <protection locked="0" hidden="1"/>
    </xf>
    <xf numFmtId="4" fontId="3" fillId="2" borderId="0" xfId="1" applyNumberFormat="1" applyFont="1" applyFill="1" applyBorder="1" applyAlignment="1" applyProtection="1">
      <alignment horizontal="center"/>
      <protection locked="0" hidden="1"/>
    </xf>
    <xf numFmtId="4" fontId="3" fillId="2" borderId="16" xfId="1" applyNumberFormat="1" applyFont="1" applyFill="1" applyBorder="1" applyAlignment="1" applyProtection="1">
      <alignment horizontal="center"/>
      <protection locked="0" hidden="1"/>
    </xf>
    <xf numFmtId="0" fontId="3" fillId="2" borderId="18" xfId="1" applyFont="1" applyFill="1" applyBorder="1" applyAlignment="1" applyProtection="1">
      <alignment horizontal="center"/>
      <protection locked="0" hidden="1"/>
    </xf>
    <xf numFmtId="0" fontId="3" fillId="2" borderId="19" xfId="1" applyFont="1" applyFill="1" applyBorder="1" applyAlignment="1" applyProtection="1">
      <alignment horizontal="center"/>
      <protection locked="0" hidden="1"/>
    </xf>
    <xf numFmtId="0" fontId="38" fillId="0" borderId="0" xfId="0" applyFont="1" applyAlignment="1" applyProtection="1">
      <alignment horizontal="right"/>
    </xf>
    <xf numFmtId="172" fontId="38" fillId="0" borderId="0" xfId="0" applyNumberFormat="1" applyFont="1" applyProtection="1"/>
    <xf numFmtId="0" fontId="39" fillId="0" borderId="0" xfId="0" applyFont="1" applyProtection="1"/>
  </cellXfs>
  <cellStyles count="4">
    <cellStyle name="Normal" xfId="0" builtinId="0"/>
    <cellStyle name="Normal_Entranco Gravel Borrow #1, 11-6-98" xfId="1"/>
    <cellStyle name="Normal_Lab Tests1" xfId="2"/>
    <cellStyle name="Percent" xfId="3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0172159520734791"/>
          <c:y val="9.1954281031903937E-2"/>
          <c:w val="0.81220781404020881"/>
          <c:h val="0.6867835364570325"/>
        </c:manualLayout>
      </c:layout>
      <c:scatterChart>
        <c:scatterStyle val="lineMarker"/>
        <c:ser>
          <c:idx val="3"/>
          <c:order val="0"/>
          <c:tx>
            <c:v>Hydrometer</c:v>
          </c:tx>
          <c:spPr>
            <a:ln w="12700">
              <a:solidFill>
                <a:srgbClr val="0000FF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numRef>
              <c:f>Hydrometer!$N$22:$N$28</c:f>
              <c:numCache>
                <c:formatCode>0.000</c:formatCode>
                <c:ptCount val="7"/>
                <c:pt idx="0">
                  <c:v>7.4999999999999997E-2</c:v>
                </c:pt>
                <c:pt idx="1">
                  <c:v>7.3999999999999996E-2</c:v>
                </c:pt>
                <c:pt idx="2">
                  <c:v>0.05</c:v>
                </c:pt>
                <c:pt idx="3">
                  <c:v>0.02</c:v>
                </c:pt>
                <c:pt idx="4">
                  <c:v>5.0000000000000001E-3</c:v>
                </c:pt>
                <c:pt idx="5">
                  <c:v>2E-3</c:v>
                </c:pt>
                <c:pt idx="6">
                  <c:v>1E-3</c:v>
                </c:pt>
              </c:numCache>
            </c:numRef>
          </c:xVal>
          <c:yVal>
            <c:numRef>
              <c:f>Hydrometer!$O$22:$O$28</c:f>
              <c:numCache>
                <c:formatCode>0.0%</c:formatCode>
                <c:ptCount val="7"/>
                <c:pt idx="0">
                  <c:v>1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</c:numCache>
            </c:numRef>
          </c:yVal>
        </c:ser>
        <c:ser>
          <c:idx val="1"/>
          <c:order val="1"/>
          <c:tx>
            <c:v>Max Specs</c:v>
          </c:tx>
          <c:spPr>
            <a:ln w="25400">
              <a:solidFill>
                <a:srgbClr val="000000"/>
              </a:solidFill>
              <a:prstDash val="sysDash"/>
            </a:ln>
          </c:spPr>
          <c:marker>
            <c:symbol val="circle"/>
            <c:size val="3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'Sieve Data'!$AH$3:$AH$31</c:f>
              <c:numCache>
                <c:formatCode>General</c:formatCode>
                <c:ptCount val="29"/>
                <c:pt idx="0">
                  <c:v>7.4999999999999997E-2</c:v>
                </c:pt>
                <c:pt idx="1">
                  <c:v>0.09</c:v>
                </c:pt>
                <c:pt idx="2">
                  <c:v>0.106</c:v>
                </c:pt>
                <c:pt idx="3">
                  <c:v>0.15</c:v>
                </c:pt>
                <c:pt idx="4">
                  <c:v>0.18</c:v>
                </c:pt>
                <c:pt idx="5">
                  <c:v>0.25</c:v>
                </c:pt>
                <c:pt idx="6">
                  <c:v>0.3</c:v>
                </c:pt>
                <c:pt idx="7">
                  <c:v>0.42499999999999999</c:v>
                </c:pt>
                <c:pt idx="8">
                  <c:v>0.6</c:v>
                </c:pt>
                <c:pt idx="9">
                  <c:v>0.85</c:v>
                </c:pt>
                <c:pt idx="10">
                  <c:v>1.18</c:v>
                </c:pt>
                <c:pt idx="11">
                  <c:v>2</c:v>
                </c:pt>
                <c:pt idx="12">
                  <c:v>2.36</c:v>
                </c:pt>
                <c:pt idx="13">
                  <c:v>4.75</c:v>
                </c:pt>
                <c:pt idx="14">
                  <c:v>6.3</c:v>
                </c:pt>
                <c:pt idx="15">
                  <c:v>9.5</c:v>
                </c:pt>
                <c:pt idx="16">
                  <c:v>12.5</c:v>
                </c:pt>
                <c:pt idx="17">
                  <c:v>16</c:v>
                </c:pt>
                <c:pt idx="18">
                  <c:v>19</c:v>
                </c:pt>
                <c:pt idx="19">
                  <c:v>22.4</c:v>
                </c:pt>
                <c:pt idx="20">
                  <c:v>25</c:v>
                </c:pt>
                <c:pt idx="21">
                  <c:v>31.5</c:v>
                </c:pt>
                <c:pt idx="22">
                  <c:v>37.5</c:v>
                </c:pt>
                <c:pt idx="23">
                  <c:v>45</c:v>
                </c:pt>
                <c:pt idx="24">
                  <c:v>50</c:v>
                </c:pt>
                <c:pt idx="25">
                  <c:v>63</c:v>
                </c:pt>
                <c:pt idx="26">
                  <c:v>75</c:v>
                </c:pt>
                <c:pt idx="27">
                  <c:v>100</c:v>
                </c:pt>
                <c:pt idx="28">
                  <c:v>150</c:v>
                </c:pt>
              </c:numCache>
            </c:numRef>
          </c:xVal>
          <c:yVal>
            <c:numRef>
              <c:f>'Sieve Data'!$AI$3:$AI$31</c:f>
              <c:numCache>
                <c:formatCode>0.0%</c:formatCode>
                <c:ptCount val="29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</c:numCache>
            </c:numRef>
          </c:yVal>
        </c:ser>
        <c:ser>
          <c:idx val="2"/>
          <c:order val="2"/>
          <c:tx>
            <c:v>Min Specs</c:v>
          </c:tx>
          <c:spPr>
            <a:ln w="25400">
              <a:solidFill>
                <a:srgbClr val="000000"/>
              </a:solidFill>
              <a:prstDash val="sysDash"/>
            </a:ln>
          </c:spPr>
          <c:marker>
            <c:symbol val="circle"/>
            <c:size val="3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'Sieve Data'!$AH$3:$AH$31</c:f>
              <c:numCache>
                <c:formatCode>General</c:formatCode>
                <c:ptCount val="29"/>
                <c:pt idx="0">
                  <c:v>7.4999999999999997E-2</c:v>
                </c:pt>
                <c:pt idx="1">
                  <c:v>0.09</c:v>
                </c:pt>
                <c:pt idx="2">
                  <c:v>0.106</c:v>
                </c:pt>
                <c:pt idx="3">
                  <c:v>0.15</c:v>
                </c:pt>
                <c:pt idx="4">
                  <c:v>0.18</c:v>
                </c:pt>
                <c:pt idx="5">
                  <c:v>0.25</c:v>
                </c:pt>
                <c:pt idx="6">
                  <c:v>0.3</c:v>
                </c:pt>
                <c:pt idx="7">
                  <c:v>0.42499999999999999</c:v>
                </c:pt>
                <c:pt idx="8">
                  <c:v>0.6</c:v>
                </c:pt>
                <c:pt idx="9">
                  <c:v>0.85</c:v>
                </c:pt>
                <c:pt idx="10">
                  <c:v>1.18</c:v>
                </c:pt>
                <c:pt idx="11">
                  <c:v>2</c:v>
                </c:pt>
                <c:pt idx="12">
                  <c:v>2.36</c:v>
                </c:pt>
                <c:pt idx="13">
                  <c:v>4.75</c:v>
                </c:pt>
                <c:pt idx="14">
                  <c:v>6.3</c:v>
                </c:pt>
                <c:pt idx="15">
                  <c:v>9.5</c:v>
                </c:pt>
                <c:pt idx="16">
                  <c:v>12.5</c:v>
                </c:pt>
                <c:pt idx="17">
                  <c:v>16</c:v>
                </c:pt>
                <c:pt idx="18">
                  <c:v>19</c:v>
                </c:pt>
                <c:pt idx="19">
                  <c:v>22.4</c:v>
                </c:pt>
                <c:pt idx="20">
                  <c:v>25</c:v>
                </c:pt>
                <c:pt idx="21">
                  <c:v>31.5</c:v>
                </c:pt>
                <c:pt idx="22">
                  <c:v>37.5</c:v>
                </c:pt>
                <c:pt idx="23">
                  <c:v>45</c:v>
                </c:pt>
                <c:pt idx="24">
                  <c:v>50</c:v>
                </c:pt>
                <c:pt idx="25">
                  <c:v>63</c:v>
                </c:pt>
                <c:pt idx="26">
                  <c:v>75</c:v>
                </c:pt>
                <c:pt idx="27">
                  <c:v>100</c:v>
                </c:pt>
                <c:pt idx="28">
                  <c:v>150</c:v>
                </c:pt>
              </c:numCache>
            </c:numRef>
          </c:xVal>
          <c:yVal>
            <c:numRef>
              <c:f>'Sieve Data'!$AJ$3:$AJ$31</c:f>
              <c:numCache>
                <c:formatCode>0.0%</c:formatCode>
                <c:ptCount val="2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</c:numCache>
            </c:numRef>
          </c:yVal>
        </c:ser>
        <c:ser>
          <c:idx val="4"/>
          <c:order val="3"/>
          <c:spPr>
            <a:ln w="12700">
              <a:solidFill>
                <a:srgbClr val="800000"/>
              </a:solidFill>
              <a:prstDash val="solid"/>
            </a:ln>
          </c:spPr>
          <c:marker>
            <c:symbol val="diamond"/>
            <c:size val="4"/>
            <c:spPr>
              <a:solidFill>
                <a:srgbClr val="FF0000"/>
              </a:solidFill>
              <a:ln w="9525">
                <a:noFill/>
              </a:ln>
            </c:spPr>
          </c:marker>
          <c:xVal>
            <c:numRef>
              <c:f>'Sieve Data'!$AT$3:$AT$31</c:f>
              <c:numCache>
                <c:formatCode>0.000</c:formatCode>
                <c:ptCount val="2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</c:numCache>
            </c:numRef>
          </c:xVal>
          <c:yVal>
            <c:numRef>
              <c:f>'Sieve Data'!$AU$3:$AU$31</c:f>
              <c:numCache>
                <c:formatCode>0.0%</c:formatCode>
                <c:ptCount val="29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</c:numCache>
            </c:numRef>
          </c:yVal>
        </c:ser>
        <c:axId val="49543040"/>
        <c:axId val="49615232"/>
      </c:scatterChart>
      <c:valAx>
        <c:axId val="49543040"/>
        <c:scaling>
          <c:logBase val="10"/>
          <c:orientation val="maxMin"/>
          <c:max val="1000"/>
          <c:min val="1E-3"/>
        </c:scaling>
        <c:axPos val="b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minorGridlines>
          <c:spPr>
            <a:ln w="3175">
              <a:solidFill>
                <a:srgbClr val="CCCCFF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Grain Size in Millimeters</a:t>
                </a:r>
              </a:p>
            </c:rich>
          </c:tx>
          <c:layout>
            <c:manualLayout>
              <c:xMode val="edge"/>
              <c:yMode val="edge"/>
              <c:x val="0.41784101415941377"/>
              <c:y val="0.83333567185162938"/>
            </c:manualLayout>
          </c:layout>
          <c:spPr>
            <a:noFill/>
            <a:ln w="25400">
              <a:noFill/>
            </a:ln>
          </c:spPr>
        </c:title>
        <c:numFmt formatCode="@" sourceLinked="0"/>
        <c:majorTickMark val="cross"/>
        <c:minorTickMark val="in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615232"/>
        <c:crossesAt val="0"/>
        <c:crossBetween val="midCat"/>
        <c:majorUnit val="10"/>
        <c:minorUnit val="10"/>
      </c:valAx>
      <c:valAx>
        <c:axId val="49615232"/>
        <c:scaling>
          <c:orientation val="minMax"/>
          <c:max val="1"/>
          <c:min val="0"/>
        </c:scaling>
        <c:axPos val="r"/>
        <c:majorGridlines>
          <c:spPr>
            <a:ln w="3175">
              <a:solidFill>
                <a:srgbClr val="808080"/>
              </a:solidFill>
              <a:prstDash val="sysDash"/>
            </a:ln>
          </c:spPr>
        </c:majorGridlines>
        <c:minorGridlines>
          <c:spPr>
            <a:ln w="3175">
              <a:solidFill>
                <a:srgbClr val="CCCCFF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% Passing by Weight</a:t>
                </a:r>
              </a:p>
            </c:rich>
          </c:tx>
          <c:layout>
            <c:manualLayout>
              <c:xMode val="edge"/>
              <c:yMode val="edge"/>
              <c:x val="9.3896857114474999E-3"/>
              <c:y val="0.3045985559181818"/>
            </c:manualLayout>
          </c:layout>
          <c:spPr>
            <a:noFill/>
            <a:ln w="25400">
              <a:noFill/>
            </a:ln>
          </c:spPr>
        </c:title>
        <c:numFmt formatCode="0%" sourceLinked="0"/>
        <c:majorTickMark val="cross"/>
        <c:minorTickMark val="in"/>
        <c:tickLblPos val="high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9543040"/>
        <c:crossesAt val="1000"/>
        <c:crossBetween val="midCat"/>
        <c:majorUnit val="0.1"/>
        <c:minorUnit val="0.05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300" verticalDpi="300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t>Moisture Density Relationship</a:t>
            </a:r>
          </a:p>
        </c:rich>
      </c:tx>
      <c:layout>
        <c:manualLayout>
          <c:xMode val="edge"/>
          <c:yMode val="edge"/>
          <c:x val="0.31333401331166083"/>
          <c:y val="2.816914323440816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777803337246825"/>
          <c:y val="0.14554057337777554"/>
          <c:w val="0.74666828704055344"/>
          <c:h val="0.60094172233404097"/>
        </c:manualLayout>
      </c:layout>
      <c:scatterChart>
        <c:scatterStyle val="lineMarker"/>
        <c:ser>
          <c:idx val="0"/>
          <c:order val="0"/>
          <c:tx>
            <c:v>Data Points</c:v>
          </c:tx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FF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xVal>
            <c:numRef>
              <c:f>'Proctor Report'!$D$14:$D$17</c:f>
              <c:numCache>
                <c:formatCode>0.0%</c:formatCode>
                <c:ptCount val="4"/>
                <c:pt idx="0">
                  <c:v>6.3424473330345024E-2</c:v>
                </c:pt>
                <c:pt idx="1">
                  <c:v>7.6276807428697774E-2</c:v>
                </c:pt>
                <c:pt idx="2">
                  <c:v>8.6003834565872295E-2</c:v>
                </c:pt>
                <c:pt idx="3">
                  <c:v>0.11517783291976851</c:v>
                </c:pt>
              </c:numCache>
            </c:numRef>
          </c:xVal>
          <c:yVal>
            <c:numRef>
              <c:f>'Proctor Report'!$E$14:$E$17</c:f>
              <c:numCache>
                <c:formatCode>0.0</c:formatCode>
                <c:ptCount val="4"/>
                <c:pt idx="0">
                  <c:v>131.24594505795577</c:v>
                </c:pt>
                <c:pt idx="1">
                  <c:v>133.52328044987678</c:v>
                </c:pt>
                <c:pt idx="2">
                  <c:v>139.20513463051708</c:v>
                </c:pt>
                <c:pt idx="3">
                  <c:v>132.59975730762099</c:v>
                </c:pt>
              </c:numCache>
            </c:numRef>
          </c:yVal>
        </c:ser>
        <c:ser>
          <c:idx val="1"/>
          <c:order val="1"/>
          <c:tx>
            <c:v>Zero Air Voids Curve</c:v>
          </c:tx>
          <c:spPr>
            <a:ln w="3175">
              <a:solidFill>
                <a:srgbClr val="800080"/>
              </a:solidFill>
              <a:prstDash val="sysDash"/>
            </a:ln>
          </c:spPr>
          <c:marker>
            <c:symbol val="none"/>
          </c:marke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delete val="1"/>
            </c:dLbl>
            <c:dLbl>
              <c:idx val="34"/>
              <c:delete val="1"/>
            </c:dLbl>
            <c:dLbl>
              <c:idx val="35"/>
              <c:delete val="1"/>
            </c:dLbl>
            <c:dLbl>
              <c:idx val="36"/>
              <c:delete val="1"/>
            </c:dLbl>
            <c:dLbl>
              <c:idx val="37"/>
              <c:delete val="1"/>
            </c:dLbl>
            <c:dLbl>
              <c:idx val="38"/>
              <c:delete val="1"/>
            </c:dLbl>
            <c:dLbl>
              <c:idx val="39"/>
              <c:delete val="1"/>
            </c:dLbl>
            <c:dLbl>
              <c:idx val="40"/>
              <c:delete val="1"/>
            </c:dLbl>
            <c:dLbl>
              <c:idx val="41"/>
              <c:delete val="1"/>
            </c:dLbl>
            <c:dLbl>
              <c:idx val="42"/>
              <c:delete val="1"/>
            </c:dLbl>
            <c:dLbl>
              <c:idx val="43"/>
              <c:delete val="1"/>
            </c:dLbl>
            <c:dLbl>
              <c:idx val="44"/>
              <c:delete val="1"/>
            </c:dLbl>
            <c:dLbl>
              <c:idx val="45"/>
              <c:delete val="1"/>
            </c:dLbl>
            <c:dLbl>
              <c:idx val="46"/>
              <c:delete val="1"/>
            </c:dLbl>
            <c:dLbl>
              <c:idx val="47"/>
              <c:delete val="1"/>
            </c:dLbl>
            <c:dLbl>
              <c:idx val="48"/>
              <c:delete val="1"/>
            </c:dLbl>
            <c:dLbl>
              <c:idx val="49"/>
              <c:delete val="1"/>
            </c:dLbl>
            <c:dLbl>
              <c:idx val="50"/>
              <c:delete val="1"/>
            </c:dLbl>
            <c:dLbl>
              <c:idx val="51"/>
              <c:delete val="1"/>
            </c:dLbl>
            <c:dLbl>
              <c:idx val="52"/>
              <c:delete val="1"/>
            </c:dLbl>
            <c:dLbl>
              <c:idx val="53"/>
              <c:delete val="1"/>
            </c:dLbl>
            <c:dLbl>
              <c:idx val="54"/>
              <c:delete val="1"/>
            </c:dLbl>
            <c:dLbl>
              <c:idx val="55"/>
              <c:delete val="1"/>
            </c:dLbl>
            <c:dLbl>
              <c:idx val="56"/>
              <c:delete val="1"/>
            </c:dLbl>
            <c:dLbl>
              <c:idx val="57"/>
              <c:layout>
                <c:manualLayout>
                  <c:xMode val="edge"/>
                  <c:yMode val="edge"/>
                  <c:x val="0.54000117187754315"/>
                  <c:y val="0.22535314587526534"/>
                </c:manualLayout>
              </c:layout>
              <c:tx>
                <c:rich>
                  <a:bodyPr/>
                  <a:lstStyle/>
                  <a:p>
                    <a:r>
                      <a:t>Zero Air Voids</a:t>
                    </a:r>
                  </a:p>
                </c:rich>
              </c:tx>
              <c:dLblPos val="r"/>
            </c:dLbl>
            <c:dLbl>
              <c:idx val="58"/>
              <c:delete val="1"/>
            </c:dLbl>
            <c:dLbl>
              <c:idx val="59"/>
              <c:delete val="1"/>
            </c:dLbl>
            <c:dLbl>
              <c:idx val="60"/>
              <c:delete val="1"/>
            </c:dLbl>
            <c:dLbl>
              <c:idx val="61"/>
              <c:delete val="1"/>
            </c:dLbl>
            <c:dLbl>
              <c:idx val="62"/>
              <c:delete val="1"/>
            </c:dLbl>
            <c:dLbl>
              <c:idx val="63"/>
              <c:delete val="1"/>
            </c:dLbl>
            <c:dLbl>
              <c:idx val="64"/>
              <c:delete val="1"/>
            </c:dLbl>
            <c:dLbl>
              <c:idx val="65"/>
              <c:delete val="1"/>
            </c:dLbl>
            <c:dLbl>
              <c:idx val="66"/>
              <c:delete val="1"/>
            </c:dLbl>
            <c:dLbl>
              <c:idx val="67"/>
              <c:delete val="1"/>
            </c:dLbl>
            <c:dLbl>
              <c:idx val="68"/>
              <c:delete val="1"/>
            </c:dLbl>
            <c:dLbl>
              <c:idx val="69"/>
              <c:delete val="1"/>
            </c:dLbl>
            <c:dLbl>
              <c:idx val="70"/>
              <c:delete val="1"/>
            </c:dLbl>
            <c:dLbl>
              <c:idx val="71"/>
              <c:delete val="1"/>
            </c:dLbl>
            <c:dLbl>
              <c:idx val="72"/>
              <c:delete val="1"/>
            </c:dLbl>
            <c:dLbl>
              <c:idx val="73"/>
              <c:delete val="1"/>
            </c:dLbl>
            <c:dLbl>
              <c:idx val="74"/>
              <c:delete val="1"/>
            </c:dLbl>
            <c:dLbl>
              <c:idx val="75"/>
              <c:delete val="1"/>
            </c:dLbl>
            <c:dLbl>
              <c:idx val="76"/>
              <c:delete val="1"/>
            </c:dLbl>
            <c:dLbl>
              <c:idx val="77"/>
              <c:delete val="1"/>
            </c:dLbl>
            <c:dLbl>
              <c:idx val="78"/>
              <c:delete val="1"/>
            </c:dLbl>
            <c:dLbl>
              <c:idx val="79"/>
              <c:delete val="1"/>
            </c:dLbl>
            <c:dLbl>
              <c:idx val="80"/>
              <c:delete val="1"/>
            </c:dLbl>
            <c:dLbl>
              <c:idx val="81"/>
              <c:delete val="1"/>
            </c:dLbl>
            <c:dLbl>
              <c:idx val="82"/>
              <c:delete val="1"/>
            </c:dLbl>
            <c:dLbl>
              <c:idx val="83"/>
              <c:delete val="1"/>
            </c:dLbl>
            <c:dLbl>
              <c:idx val="84"/>
              <c:delete val="1"/>
            </c:dLbl>
            <c:dLbl>
              <c:idx val="85"/>
              <c:delete val="1"/>
            </c:dLbl>
            <c:dLbl>
              <c:idx val="86"/>
              <c:delete val="1"/>
            </c:dLbl>
            <c:dLbl>
              <c:idx val="87"/>
              <c:delete val="1"/>
            </c:dLbl>
            <c:dLbl>
              <c:idx val="88"/>
              <c:delete val="1"/>
            </c:dLbl>
            <c:dLbl>
              <c:idx val="89"/>
              <c:delete val="1"/>
            </c:dLbl>
            <c:dLbl>
              <c:idx val="90"/>
              <c:delete val="1"/>
            </c:dLbl>
            <c:dLbl>
              <c:idx val="91"/>
              <c:delete val="1"/>
            </c:dLbl>
            <c:dLbl>
              <c:idx val="92"/>
              <c:delete val="1"/>
            </c:dLbl>
            <c:dLbl>
              <c:idx val="93"/>
              <c:delete val="1"/>
            </c:dLbl>
            <c:dLbl>
              <c:idx val="94"/>
              <c:delete val="1"/>
            </c:dLbl>
            <c:dLbl>
              <c:idx val="95"/>
              <c:delete val="1"/>
            </c:dLbl>
            <c:dLbl>
              <c:idx val="96"/>
              <c:delete val="1"/>
            </c:dLbl>
            <c:dLbl>
              <c:idx val="97"/>
              <c:delete val="1"/>
            </c:dLbl>
            <c:dLbl>
              <c:idx val="98"/>
              <c:delete val="1"/>
            </c:dLbl>
            <c:dLbl>
              <c:idx val="99"/>
              <c:delete val="1"/>
            </c:dLbl>
            <c:dLbl>
              <c:idx val="100"/>
              <c:delete val="1"/>
            </c:dLbl>
            <c:dLbl>
              <c:idx val="101"/>
              <c:delete val="1"/>
            </c:dLbl>
            <c:dLbl>
              <c:idx val="102"/>
              <c:delete val="1"/>
            </c:dLbl>
            <c:dLbl>
              <c:idx val="103"/>
              <c:delete val="1"/>
            </c:dLbl>
            <c:dLbl>
              <c:idx val="104"/>
              <c:delete val="1"/>
            </c:dLbl>
            <c:dLbl>
              <c:idx val="105"/>
              <c:delete val="1"/>
            </c:dLbl>
            <c:dLbl>
              <c:idx val="106"/>
              <c:delete val="1"/>
            </c:dLbl>
            <c:dLbl>
              <c:idx val="107"/>
              <c:delete val="1"/>
            </c:dLbl>
            <c:dLbl>
              <c:idx val="108"/>
              <c:delete val="1"/>
            </c:dLbl>
            <c:dLbl>
              <c:idx val="109"/>
              <c:delete val="1"/>
            </c:dLbl>
            <c:dLbl>
              <c:idx val="110"/>
              <c:delete val="1"/>
            </c:dLbl>
            <c:dLbl>
              <c:idx val="111"/>
              <c:delete val="1"/>
            </c:dLbl>
            <c:dLbl>
              <c:idx val="112"/>
              <c:delete val="1"/>
            </c:dLbl>
            <c:dLbl>
              <c:idx val="113"/>
              <c:delete val="1"/>
            </c:dLbl>
            <c:dLbl>
              <c:idx val="114"/>
              <c:delete val="1"/>
            </c:dLbl>
            <c:dLbl>
              <c:idx val="115"/>
              <c:delete val="1"/>
            </c:dLbl>
            <c:dLbl>
              <c:idx val="116"/>
              <c:delete val="1"/>
            </c:dLbl>
            <c:dLbl>
              <c:idx val="117"/>
              <c:delete val="1"/>
            </c:dLbl>
            <c:dLbl>
              <c:idx val="118"/>
              <c:delete val="1"/>
            </c:dLbl>
            <c:dLbl>
              <c:idx val="119"/>
              <c:delete val="1"/>
            </c:dLbl>
            <c:dLbl>
              <c:idx val="120"/>
              <c:delete val="1"/>
            </c:dLbl>
            <c:dLbl>
              <c:idx val="121"/>
              <c:delete val="1"/>
            </c:dLbl>
            <c:dLbl>
              <c:idx val="122"/>
              <c:delete val="1"/>
            </c:dLbl>
            <c:dLbl>
              <c:idx val="123"/>
              <c:delete val="1"/>
            </c:dLbl>
            <c:dLbl>
              <c:idx val="124"/>
              <c:delete val="1"/>
            </c:dLbl>
            <c:dLbl>
              <c:idx val="125"/>
              <c:delete val="1"/>
            </c:dLbl>
            <c:dLbl>
              <c:idx val="126"/>
              <c:delete val="1"/>
            </c:dLbl>
            <c:dLbl>
              <c:idx val="127"/>
              <c:delete val="1"/>
            </c:dLbl>
            <c:dLbl>
              <c:idx val="128"/>
              <c:delete val="1"/>
            </c:dLbl>
            <c:dLbl>
              <c:idx val="129"/>
              <c:delete val="1"/>
            </c:dLbl>
            <c:dLbl>
              <c:idx val="130"/>
              <c:delete val="1"/>
            </c:dLbl>
            <c:dLbl>
              <c:idx val="131"/>
              <c:delete val="1"/>
            </c:dLbl>
            <c:dLbl>
              <c:idx val="132"/>
              <c:delete val="1"/>
            </c:dLbl>
            <c:dLbl>
              <c:idx val="133"/>
              <c:delete val="1"/>
            </c:dLbl>
            <c:dLbl>
              <c:idx val="134"/>
              <c:delete val="1"/>
            </c:dLbl>
            <c:dLbl>
              <c:idx val="135"/>
              <c:delete val="1"/>
            </c:dLbl>
            <c:dLbl>
              <c:idx val="136"/>
              <c:delete val="1"/>
            </c:dLbl>
            <c:dLbl>
              <c:idx val="137"/>
              <c:delete val="1"/>
            </c:dLbl>
            <c:dLbl>
              <c:idx val="138"/>
              <c:delete val="1"/>
            </c:dLbl>
            <c:dLbl>
              <c:idx val="139"/>
              <c:delete val="1"/>
            </c:dLbl>
            <c:dLbl>
              <c:idx val="140"/>
              <c:delete val="1"/>
            </c:dLbl>
            <c:dLbl>
              <c:idx val="141"/>
              <c:delete val="1"/>
            </c:dLbl>
            <c:dLbl>
              <c:idx val="142"/>
              <c:delete val="1"/>
            </c:dLbl>
            <c:dLbl>
              <c:idx val="143"/>
              <c:delete val="1"/>
            </c:dLbl>
            <c:dLbl>
              <c:idx val="144"/>
              <c:delete val="1"/>
            </c:dLbl>
            <c:dLbl>
              <c:idx val="145"/>
              <c:delete val="1"/>
            </c:dLbl>
            <c:dLbl>
              <c:idx val="146"/>
              <c:delete val="1"/>
            </c:dLbl>
            <c:dLbl>
              <c:idx val="147"/>
              <c:delete val="1"/>
            </c:dLbl>
            <c:dLbl>
              <c:idx val="148"/>
              <c:delete val="1"/>
            </c:dLbl>
            <c:dLbl>
              <c:idx val="149"/>
              <c:delete val="1"/>
            </c:dLbl>
            <c:dLbl>
              <c:idx val="150"/>
              <c:delete val="1"/>
            </c:dLbl>
            <c:dLbl>
              <c:idx val="151"/>
              <c:delete val="1"/>
            </c:dLbl>
            <c:dLbl>
              <c:idx val="152"/>
              <c:delete val="1"/>
            </c:dLbl>
            <c:dLbl>
              <c:idx val="153"/>
              <c:delete val="1"/>
            </c:dLbl>
            <c:dLbl>
              <c:idx val="154"/>
              <c:delete val="1"/>
            </c:dLbl>
            <c:dLbl>
              <c:idx val="155"/>
              <c:delete val="1"/>
            </c:dLbl>
            <c:dLbl>
              <c:idx val="156"/>
              <c:delete val="1"/>
            </c:dLbl>
            <c:dLbl>
              <c:idx val="157"/>
              <c:delete val="1"/>
            </c:dLbl>
            <c:dLbl>
              <c:idx val="158"/>
              <c:delete val="1"/>
            </c:dLbl>
            <c:dLbl>
              <c:idx val="159"/>
              <c:delete val="1"/>
            </c:dLbl>
            <c:dLbl>
              <c:idx val="160"/>
              <c:delete val="1"/>
            </c:dLbl>
            <c:dLbl>
              <c:idx val="161"/>
              <c:delete val="1"/>
            </c:dLbl>
            <c:dLbl>
              <c:idx val="162"/>
              <c:delete val="1"/>
            </c:dLbl>
            <c:dLbl>
              <c:idx val="163"/>
              <c:delete val="1"/>
            </c:dLbl>
            <c:dLbl>
              <c:idx val="164"/>
              <c:delete val="1"/>
            </c:dLbl>
            <c:dLbl>
              <c:idx val="165"/>
              <c:delete val="1"/>
            </c:dLbl>
            <c:dLbl>
              <c:idx val="166"/>
              <c:delete val="1"/>
            </c:dLbl>
            <c:dLbl>
              <c:idx val="167"/>
              <c:delete val="1"/>
            </c:dLbl>
            <c:dLbl>
              <c:idx val="168"/>
              <c:delete val="1"/>
            </c:dLbl>
            <c:dLbl>
              <c:idx val="169"/>
              <c:delete val="1"/>
            </c:dLbl>
            <c:dLbl>
              <c:idx val="170"/>
              <c:delete val="1"/>
            </c:dLbl>
            <c:dLbl>
              <c:idx val="171"/>
              <c:delete val="1"/>
            </c:dLbl>
            <c:dLbl>
              <c:idx val="172"/>
              <c:delete val="1"/>
            </c:dLbl>
            <c:dLbl>
              <c:idx val="173"/>
              <c:delete val="1"/>
            </c:dLbl>
            <c:dLbl>
              <c:idx val="174"/>
              <c:delete val="1"/>
            </c:dLbl>
            <c:dLbl>
              <c:idx val="175"/>
              <c:delete val="1"/>
            </c:dLbl>
            <c:dLbl>
              <c:idx val="176"/>
              <c:delete val="1"/>
            </c:dLbl>
            <c:dLbl>
              <c:idx val="177"/>
              <c:delete val="1"/>
            </c:dLbl>
            <c:dLbl>
              <c:idx val="178"/>
              <c:delete val="1"/>
            </c:dLbl>
            <c:dLbl>
              <c:idx val="179"/>
              <c:delete val="1"/>
            </c:dLbl>
            <c:dLbl>
              <c:idx val="180"/>
              <c:delete val="1"/>
            </c:dLbl>
            <c:dLbl>
              <c:idx val="181"/>
              <c:delete val="1"/>
            </c:dLbl>
            <c:dLbl>
              <c:idx val="182"/>
              <c:delete val="1"/>
            </c:dLbl>
            <c:dLbl>
              <c:idx val="183"/>
              <c:delete val="1"/>
            </c:dLbl>
            <c:dLbl>
              <c:idx val="184"/>
              <c:delete val="1"/>
            </c:dLbl>
            <c:dLbl>
              <c:idx val="185"/>
              <c:delete val="1"/>
            </c:dLbl>
            <c:dLbl>
              <c:idx val="186"/>
              <c:delete val="1"/>
            </c:dLbl>
            <c:dLbl>
              <c:idx val="187"/>
              <c:delete val="1"/>
            </c:dLbl>
            <c:dLbl>
              <c:idx val="188"/>
              <c:delete val="1"/>
            </c:dLbl>
            <c:dLbl>
              <c:idx val="189"/>
              <c:delete val="1"/>
            </c:dLbl>
            <c:dLbl>
              <c:idx val="190"/>
              <c:delete val="1"/>
            </c:dLbl>
            <c:dLbl>
              <c:idx val="191"/>
              <c:delete val="1"/>
            </c:dLbl>
            <c:dLbl>
              <c:idx val="192"/>
              <c:delete val="1"/>
            </c:dLbl>
            <c:dLbl>
              <c:idx val="193"/>
              <c:delete val="1"/>
            </c:dLbl>
            <c:dLbl>
              <c:idx val="194"/>
              <c:delete val="1"/>
            </c:dLbl>
            <c:dLbl>
              <c:idx val="195"/>
              <c:delete val="1"/>
            </c:dLbl>
            <c:dLbl>
              <c:idx val="196"/>
              <c:delete val="1"/>
            </c:dLbl>
            <c:dLbl>
              <c:idx val="197"/>
              <c:delete val="1"/>
            </c:dLbl>
            <c:dLbl>
              <c:idx val="198"/>
              <c:delete val="1"/>
            </c:dLbl>
            <c:dLbl>
              <c:idx val="199"/>
              <c:delete val="1"/>
            </c:dLbl>
            <c:dLbl>
              <c:idx val="200"/>
              <c:delete val="1"/>
            </c:dLbl>
            <c:dLbl>
              <c:idx val="201"/>
              <c:delete val="1"/>
            </c:dLbl>
            <c:dLbl>
              <c:idx val="202"/>
              <c:delete val="1"/>
            </c:dLbl>
            <c:dLbl>
              <c:idx val="203"/>
              <c:delete val="1"/>
            </c:dLbl>
            <c:dLbl>
              <c:idx val="204"/>
              <c:delete val="1"/>
            </c:dLbl>
            <c:dLbl>
              <c:idx val="205"/>
              <c:delete val="1"/>
            </c:dLbl>
            <c:dLbl>
              <c:idx val="206"/>
              <c:delete val="1"/>
            </c:dLbl>
            <c:dLbl>
              <c:idx val="207"/>
              <c:delete val="1"/>
            </c:dLbl>
            <c:dLbl>
              <c:idx val="208"/>
              <c:delete val="1"/>
            </c:dLbl>
            <c:dLbl>
              <c:idx val="209"/>
              <c:delete val="1"/>
            </c:dLbl>
            <c:dLbl>
              <c:idx val="210"/>
              <c:delete val="1"/>
            </c:dLbl>
            <c:dLbl>
              <c:idx val="211"/>
              <c:delete val="1"/>
            </c:dLbl>
            <c:dLbl>
              <c:idx val="212"/>
              <c:delete val="1"/>
            </c:dLbl>
            <c:dLbl>
              <c:idx val="213"/>
              <c:delete val="1"/>
            </c:dLbl>
            <c:dLbl>
              <c:idx val="214"/>
              <c:delete val="1"/>
            </c:dLbl>
            <c:dLbl>
              <c:idx val="215"/>
              <c:delete val="1"/>
            </c:dLbl>
            <c:dLbl>
              <c:idx val="216"/>
              <c:delete val="1"/>
            </c:dLbl>
            <c:dLbl>
              <c:idx val="217"/>
              <c:delete val="1"/>
            </c:dLbl>
            <c:dLbl>
              <c:idx val="218"/>
              <c:delete val="1"/>
            </c:dLbl>
            <c:dLbl>
              <c:idx val="219"/>
              <c:delete val="1"/>
            </c:dLbl>
            <c:dLbl>
              <c:idx val="220"/>
              <c:delete val="1"/>
            </c:dLbl>
            <c:dLbl>
              <c:idx val="221"/>
              <c:delete val="1"/>
            </c:dLbl>
            <c:dLbl>
              <c:idx val="222"/>
              <c:delete val="1"/>
            </c:dLbl>
            <c:dLbl>
              <c:idx val="223"/>
              <c:delete val="1"/>
            </c:dLbl>
            <c:dLbl>
              <c:idx val="224"/>
              <c:delete val="1"/>
            </c:dLbl>
            <c:dLbl>
              <c:idx val="225"/>
              <c:delete val="1"/>
            </c:dLbl>
            <c:dLbl>
              <c:idx val="226"/>
              <c:delete val="1"/>
            </c:dLbl>
            <c:dLbl>
              <c:idx val="227"/>
              <c:delete val="1"/>
            </c:dLbl>
            <c:dLbl>
              <c:idx val="228"/>
              <c:delete val="1"/>
            </c:dLbl>
            <c:dLbl>
              <c:idx val="229"/>
              <c:delete val="1"/>
            </c:dLbl>
            <c:dLbl>
              <c:idx val="230"/>
              <c:delete val="1"/>
            </c:dLbl>
            <c:dLbl>
              <c:idx val="231"/>
              <c:delete val="1"/>
            </c:dLbl>
            <c:dLbl>
              <c:idx val="232"/>
              <c:delete val="1"/>
            </c:dLbl>
            <c:dLbl>
              <c:idx val="233"/>
              <c:delete val="1"/>
            </c:dLbl>
            <c:dLbl>
              <c:idx val="234"/>
              <c:delete val="1"/>
            </c:dLbl>
            <c:dLbl>
              <c:idx val="235"/>
              <c:delete val="1"/>
            </c:dLbl>
            <c:dLbl>
              <c:idx val="236"/>
              <c:delete val="1"/>
            </c:dLbl>
            <c:dLbl>
              <c:idx val="237"/>
              <c:delete val="1"/>
            </c:dLbl>
            <c:dLbl>
              <c:idx val="238"/>
              <c:delete val="1"/>
            </c:dLbl>
            <c:dLbl>
              <c:idx val="239"/>
              <c:delete val="1"/>
            </c:dLbl>
            <c:dLbl>
              <c:idx val="240"/>
              <c:delete val="1"/>
            </c:dLbl>
            <c:dLbl>
              <c:idx val="241"/>
              <c:delete val="1"/>
            </c:dLbl>
            <c:dLbl>
              <c:idx val="242"/>
              <c:delete val="1"/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n-US"/>
              </a:p>
            </c:txPr>
            <c:showCatName val="1"/>
          </c:dLbls>
          <c:xVal>
            <c:numRef>
              <c:f>'Proctor Report'!$P$3:$P$240</c:f>
              <c:numCache>
                <c:formatCode>0.0\ %</c:formatCode>
                <c:ptCount val="238"/>
                <c:pt idx="0">
                  <c:v>3.3424473330345025E-2</c:v>
                </c:pt>
                <c:pt idx="1">
                  <c:v>3.4424473330345026E-2</c:v>
                </c:pt>
                <c:pt idx="2">
                  <c:v>3.5424473330345027E-2</c:v>
                </c:pt>
                <c:pt idx="3">
                  <c:v>3.6424473330345028E-2</c:v>
                </c:pt>
                <c:pt idx="4">
                  <c:v>3.7424473330345029E-2</c:v>
                </c:pt>
                <c:pt idx="5">
                  <c:v>3.842447333034503E-2</c:v>
                </c:pt>
                <c:pt idx="6">
                  <c:v>3.9424473330345031E-2</c:v>
                </c:pt>
                <c:pt idx="7">
                  <c:v>4.0424473330345032E-2</c:v>
                </c:pt>
                <c:pt idx="8">
                  <c:v>4.1424473330345032E-2</c:v>
                </c:pt>
                <c:pt idx="9">
                  <c:v>4.2424473330345033E-2</c:v>
                </c:pt>
                <c:pt idx="10">
                  <c:v>4.3424473330345034E-2</c:v>
                </c:pt>
                <c:pt idx="11">
                  <c:v>4.4424473330345035E-2</c:v>
                </c:pt>
                <c:pt idx="12">
                  <c:v>4.5424473330345036E-2</c:v>
                </c:pt>
                <c:pt idx="13">
                  <c:v>4.6424473330345037E-2</c:v>
                </c:pt>
                <c:pt idx="14">
                  <c:v>4.7424473330345038E-2</c:v>
                </c:pt>
                <c:pt idx="15">
                  <c:v>4.8424473330345039E-2</c:v>
                </c:pt>
                <c:pt idx="16">
                  <c:v>4.942447333034504E-2</c:v>
                </c:pt>
                <c:pt idx="17">
                  <c:v>5.042447333034504E-2</c:v>
                </c:pt>
                <c:pt idx="18">
                  <c:v>5.1424473330345041E-2</c:v>
                </c:pt>
                <c:pt idx="19">
                  <c:v>5.2424473330345042E-2</c:v>
                </c:pt>
                <c:pt idx="20">
                  <c:v>5.3424473330345043E-2</c:v>
                </c:pt>
                <c:pt idx="21">
                  <c:v>5.4424473330345044E-2</c:v>
                </c:pt>
                <c:pt idx="22">
                  <c:v>5.5424473330345045E-2</c:v>
                </c:pt>
                <c:pt idx="23">
                  <c:v>5.6424473330345046E-2</c:v>
                </c:pt>
                <c:pt idx="24">
                  <c:v>5.7424473330345047E-2</c:v>
                </c:pt>
                <c:pt idx="25">
                  <c:v>5.8424473330345048E-2</c:v>
                </c:pt>
                <c:pt idx="26">
                  <c:v>5.9424473330345048E-2</c:v>
                </c:pt>
                <c:pt idx="27">
                  <c:v>6.0424473330345049E-2</c:v>
                </c:pt>
                <c:pt idx="28">
                  <c:v>6.142447333034505E-2</c:v>
                </c:pt>
                <c:pt idx="29">
                  <c:v>6.2424473330345051E-2</c:v>
                </c:pt>
                <c:pt idx="30">
                  <c:v>6.3424473330345052E-2</c:v>
                </c:pt>
                <c:pt idx="31">
                  <c:v>6.4424473330345053E-2</c:v>
                </c:pt>
                <c:pt idx="32">
                  <c:v>6.5424473330345054E-2</c:v>
                </c:pt>
                <c:pt idx="33">
                  <c:v>6.6424473330345055E-2</c:v>
                </c:pt>
                <c:pt idx="34">
                  <c:v>6.7424473330345056E-2</c:v>
                </c:pt>
                <c:pt idx="35">
                  <c:v>6.8424473330345056E-2</c:v>
                </c:pt>
                <c:pt idx="36">
                  <c:v>6.9424473330345057E-2</c:v>
                </c:pt>
                <c:pt idx="37">
                  <c:v>7.0424473330345058E-2</c:v>
                </c:pt>
                <c:pt idx="38">
                  <c:v>7.1424473330345059E-2</c:v>
                </c:pt>
                <c:pt idx="39">
                  <c:v>7.242447333034506E-2</c:v>
                </c:pt>
                <c:pt idx="40">
                  <c:v>7.3424473330345061E-2</c:v>
                </c:pt>
                <c:pt idx="41">
                  <c:v>7.4424473330345062E-2</c:v>
                </c:pt>
                <c:pt idx="42">
                  <c:v>7.5424473330345063E-2</c:v>
                </c:pt>
                <c:pt idx="43">
                  <c:v>7.6424473330345064E-2</c:v>
                </c:pt>
                <c:pt idx="44">
                  <c:v>7.7424473330345064E-2</c:v>
                </c:pt>
                <c:pt idx="45">
                  <c:v>7.8424473330345065E-2</c:v>
                </c:pt>
                <c:pt idx="46">
                  <c:v>7.9424473330345066E-2</c:v>
                </c:pt>
                <c:pt idx="47">
                  <c:v>8.0424473330345067E-2</c:v>
                </c:pt>
                <c:pt idx="48">
                  <c:v>8.1424473330345068E-2</c:v>
                </c:pt>
                <c:pt idx="49">
                  <c:v>8.2424473330345069E-2</c:v>
                </c:pt>
                <c:pt idx="50">
                  <c:v>8.342447333034507E-2</c:v>
                </c:pt>
                <c:pt idx="51">
                  <c:v>8.4424473330345071E-2</c:v>
                </c:pt>
                <c:pt idx="52">
                  <c:v>8.5424473330345072E-2</c:v>
                </c:pt>
                <c:pt idx="53">
                  <c:v>8.6424473330345072E-2</c:v>
                </c:pt>
                <c:pt idx="54">
                  <c:v>8.7424473330345073E-2</c:v>
                </c:pt>
                <c:pt idx="55">
                  <c:v>8.8424473330345074E-2</c:v>
                </c:pt>
                <c:pt idx="56">
                  <c:v>8.9424473330345075E-2</c:v>
                </c:pt>
                <c:pt idx="57">
                  <c:v>9.0424473330345076E-2</c:v>
                </c:pt>
                <c:pt idx="58">
                  <c:v>9.1424473330345077E-2</c:v>
                </c:pt>
                <c:pt idx="59">
                  <c:v>9.2424473330345078E-2</c:v>
                </c:pt>
                <c:pt idx="60">
                  <c:v>9.3424473330345079E-2</c:v>
                </c:pt>
                <c:pt idx="61">
                  <c:v>9.442447333034508E-2</c:v>
                </c:pt>
                <c:pt idx="62">
                  <c:v>9.542447333034508E-2</c:v>
                </c:pt>
                <c:pt idx="63">
                  <c:v>9.6424473330345081E-2</c:v>
                </c:pt>
                <c:pt idx="64">
                  <c:v>9.7424473330345082E-2</c:v>
                </c:pt>
                <c:pt idx="65">
                  <c:v>9.8424473330345083E-2</c:v>
                </c:pt>
                <c:pt idx="66">
                  <c:v>9.9424473330345084E-2</c:v>
                </c:pt>
                <c:pt idx="67">
                  <c:v>0.10042447333034508</c:v>
                </c:pt>
                <c:pt idx="68">
                  <c:v>0.10142447333034509</c:v>
                </c:pt>
                <c:pt idx="69">
                  <c:v>0.10242447333034509</c:v>
                </c:pt>
                <c:pt idx="70">
                  <c:v>0.10342447333034509</c:v>
                </c:pt>
                <c:pt idx="71">
                  <c:v>0.10442447333034509</c:v>
                </c:pt>
                <c:pt idx="72">
                  <c:v>0.10542447333034509</c:v>
                </c:pt>
                <c:pt idx="73">
                  <c:v>0.10642447333034509</c:v>
                </c:pt>
                <c:pt idx="74">
                  <c:v>0.10742447333034509</c:v>
                </c:pt>
                <c:pt idx="75">
                  <c:v>0.10842447333034509</c:v>
                </c:pt>
                <c:pt idx="76">
                  <c:v>0.10942447333034509</c:v>
                </c:pt>
                <c:pt idx="77">
                  <c:v>0.11042447333034509</c:v>
                </c:pt>
                <c:pt idx="78">
                  <c:v>0.11142447333034509</c:v>
                </c:pt>
                <c:pt idx="79">
                  <c:v>0.1124244733303451</c:v>
                </c:pt>
                <c:pt idx="80">
                  <c:v>0.1134244733303451</c:v>
                </c:pt>
                <c:pt idx="81">
                  <c:v>0.1144244733303451</c:v>
                </c:pt>
                <c:pt idx="82">
                  <c:v>0.1154244733303451</c:v>
                </c:pt>
                <c:pt idx="83">
                  <c:v>0.1164244733303451</c:v>
                </c:pt>
                <c:pt idx="84">
                  <c:v>0.1174244733303451</c:v>
                </c:pt>
                <c:pt idx="85">
                  <c:v>0.1184244733303451</c:v>
                </c:pt>
                <c:pt idx="86">
                  <c:v>0.1194244733303451</c:v>
                </c:pt>
                <c:pt idx="87">
                  <c:v>0.1204244733303451</c:v>
                </c:pt>
                <c:pt idx="88">
                  <c:v>0.1214244733303451</c:v>
                </c:pt>
                <c:pt idx="89">
                  <c:v>0.1224244733303451</c:v>
                </c:pt>
                <c:pt idx="90">
                  <c:v>0.12342447333034511</c:v>
                </c:pt>
                <c:pt idx="91">
                  <c:v>0.12442447333034511</c:v>
                </c:pt>
                <c:pt idx="92">
                  <c:v>0.12542447333034509</c:v>
                </c:pt>
                <c:pt idx="93">
                  <c:v>0.12642447333034509</c:v>
                </c:pt>
                <c:pt idx="94">
                  <c:v>0.12742447333034509</c:v>
                </c:pt>
                <c:pt idx="95">
                  <c:v>0.1284244733303451</c:v>
                </c:pt>
                <c:pt idx="96">
                  <c:v>0.1294244733303451</c:v>
                </c:pt>
                <c:pt idx="97">
                  <c:v>0.1304244733303451</c:v>
                </c:pt>
                <c:pt idx="98">
                  <c:v>0.1314244733303451</c:v>
                </c:pt>
                <c:pt idx="99">
                  <c:v>0.1324244733303451</c:v>
                </c:pt>
                <c:pt idx="100">
                  <c:v>0.1334244733303451</c:v>
                </c:pt>
                <c:pt idx="101">
                  <c:v>0.1344244733303451</c:v>
                </c:pt>
                <c:pt idx="102">
                  <c:v>0.1354244733303451</c:v>
                </c:pt>
                <c:pt idx="103">
                  <c:v>0.1364244733303451</c:v>
                </c:pt>
                <c:pt idx="104">
                  <c:v>0.1374244733303451</c:v>
                </c:pt>
                <c:pt idx="105">
                  <c:v>0.1384244733303451</c:v>
                </c:pt>
                <c:pt idx="106">
                  <c:v>0.13942447333034511</c:v>
                </c:pt>
                <c:pt idx="107">
                  <c:v>0.14042447333034511</c:v>
                </c:pt>
                <c:pt idx="108">
                  <c:v>0.14142447333034511</c:v>
                </c:pt>
                <c:pt idx="109">
                  <c:v>0.14242447333034511</c:v>
                </c:pt>
                <c:pt idx="110">
                  <c:v>0.14342447333034511</c:v>
                </c:pt>
                <c:pt idx="111">
                  <c:v>0.14442447333034511</c:v>
                </c:pt>
                <c:pt idx="112">
                  <c:v>0.14542447333034511</c:v>
                </c:pt>
                <c:pt idx="113">
                  <c:v>0.14642447333034511</c:v>
                </c:pt>
                <c:pt idx="114">
                  <c:v>0.14742447333034511</c:v>
                </c:pt>
                <c:pt idx="115">
                  <c:v>0.14842447333034511</c:v>
                </c:pt>
                <c:pt idx="116">
                  <c:v>0.14942447333034511</c:v>
                </c:pt>
                <c:pt idx="117">
                  <c:v>0.15042447333034512</c:v>
                </c:pt>
                <c:pt idx="118">
                  <c:v>0.15142447333034512</c:v>
                </c:pt>
                <c:pt idx="119">
                  <c:v>0.15242447333034512</c:v>
                </c:pt>
                <c:pt idx="120">
                  <c:v>0.15342447333034512</c:v>
                </c:pt>
                <c:pt idx="121">
                  <c:v>0.15442447333034512</c:v>
                </c:pt>
                <c:pt idx="122">
                  <c:v>0.15542447333034512</c:v>
                </c:pt>
                <c:pt idx="123">
                  <c:v>0.15642447333034512</c:v>
                </c:pt>
                <c:pt idx="124">
                  <c:v>0.15742447333034512</c:v>
                </c:pt>
                <c:pt idx="125">
                  <c:v>0.15842447333034512</c:v>
                </c:pt>
                <c:pt idx="126">
                  <c:v>0.15942447333034512</c:v>
                </c:pt>
                <c:pt idx="127">
                  <c:v>0.16042447333034512</c:v>
                </c:pt>
                <c:pt idx="128">
                  <c:v>0.16142447333034513</c:v>
                </c:pt>
                <c:pt idx="129">
                  <c:v>0.16242447333034513</c:v>
                </c:pt>
                <c:pt idx="130">
                  <c:v>0.16342447333034513</c:v>
                </c:pt>
                <c:pt idx="131">
                  <c:v>0.16442447333034513</c:v>
                </c:pt>
                <c:pt idx="132">
                  <c:v>0.16542447333034513</c:v>
                </c:pt>
                <c:pt idx="133">
                  <c:v>0.16642447333034513</c:v>
                </c:pt>
                <c:pt idx="134">
                  <c:v>0.16742447333034513</c:v>
                </c:pt>
                <c:pt idx="135">
                  <c:v>0.16842447333034513</c:v>
                </c:pt>
                <c:pt idx="136">
                  <c:v>0.16942447333034513</c:v>
                </c:pt>
                <c:pt idx="137">
                  <c:v>0.17042447333034513</c:v>
                </c:pt>
                <c:pt idx="138">
                  <c:v>0.17142447333034513</c:v>
                </c:pt>
                <c:pt idx="139">
                  <c:v>0.17242447333034513</c:v>
                </c:pt>
                <c:pt idx="140">
                  <c:v>0.17342447333034514</c:v>
                </c:pt>
                <c:pt idx="141">
                  <c:v>0.17442447333034514</c:v>
                </c:pt>
                <c:pt idx="142">
                  <c:v>0.17542447333034514</c:v>
                </c:pt>
                <c:pt idx="143">
                  <c:v>0.17642447333034514</c:v>
                </c:pt>
                <c:pt idx="144">
                  <c:v>0.17742447333034514</c:v>
                </c:pt>
                <c:pt idx="145">
                  <c:v>0.17842447333034514</c:v>
                </c:pt>
                <c:pt idx="146">
                  <c:v>0.17942447333034514</c:v>
                </c:pt>
                <c:pt idx="147">
                  <c:v>0.18042447333034514</c:v>
                </c:pt>
                <c:pt idx="148">
                  <c:v>0.18142447333034514</c:v>
                </c:pt>
                <c:pt idx="149">
                  <c:v>0.18242447333034514</c:v>
                </c:pt>
                <c:pt idx="150">
                  <c:v>0.18342447333034514</c:v>
                </c:pt>
                <c:pt idx="151">
                  <c:v>0.18442447333034515</c:v>
                </c:pt>
                <c:pt idx="152">
                  <c:v>0.18542447333034515</c:v>
                </c:pt>
                <c:pt idx="153">
                  <c:v>0.18642447333034515</c:v>
                </c:pt>
                <c:pt idx="154">
                  <c:v>0.18742447333034515</c:v>
                </c:pt>
                <c:pt idx="155">
                  <c:v>0.18842447333034515</c:v>
                </c:pt>
                <c:pt idx="156">
                  <c:v>0.18942447333034515</c:v>
                </c:pt>
                <c:pt idx="157">
                  <c:v>0.19042447333034515</c:v>
                </c:pt>
                <c:pt idx="158">
                  <c:v>0.19142447333034515</c:v>
                </c:pt>
                <c:pt idx="159">
                  <c:v>0.19242447333034515</c:v>
                </c:pt>
                <c:pt idx="160">
                  <c:v>0.19342447333034515</c:v>
                </c:pt>
                <c:pt idx="161">
                  <c:v>0.19442447333034515</c:v>
                </c:pt>
                <c:pt idx="162">
                  <c:v>0.19542447333034516</c:v>
                </c:pt>
                <c:pt idx="163">
                  <c:v>0.19642447333034516</c:v>
                </c:pt>
                <c:pt idx="164">
                  <c:v>0.19742447333034516</c:v>
                </c:pt>
                <c:pt idx="165">
                  <c:v>0.19842447333034516</c:v>
                </c:pt>
                <c:pt idx="166">
                  <c:v>0.19942447333034516</c:v>
                </c:pt>
                <c:pt idx="167">
                  <c:v>0.20042447333034516</c:v>
                </c:pt>
                <c:pt idx="168">
                  <c:v>0.20142447333034516</c:v>
                </c:pt>
                <c:pt idx="169">
                  <c:v>0.20242447333034516</c:v>
                </c:pt>
                <c:pt idx="170">
                  <c:v>0.20342447333034516</c:v>
                </c:pt>
                <c:pt idx="171">
                  <c:v>0.20442447333034516</c:v>
                </c:pt>
                <c:pt idx="172">
                  <c:v>0.20542447333034516</c:v>
                </c:pt>
                <c:pt idx="173">
                  <c:v>0.20642447333034517</c:v>
                </c:pt>
                <c:pt idx="174">
                  <c:v>0.20742447333034517</c:v>
                </c:pt>
                <c:pt idx="175">
                  <c:v>0.20842447333034517</c:v>
                </c:pt>
                <c:pt idx="176">
                  <c:v>0.20942447333034517</c:v>
                </c:pt>
                <c:pt idx="177">
                  <c:v>0.21042447333034517</c:v>
                </c:pt>
                <c:pt idx="178">
                  <c:v>0.21142447333034517</c:v>
                </c:pt>
                <c:pt idx="179">
                  <c:v>0.21242447333034517</c:v>
                </c:pt>
                <c:pt idx="180">
                  <c:v>0.21342447333034517</c:v>
                </c:pt>
                <c:pt idx="181">
                  <c:v>0.21442447333034517</c:v>
                </c:pt>
                <c:pt idx="182">
                  <c:v>0.21542447333034517</c:v>
                </c:pt>
                <c:pt idx="183">
                  <c:v>0.21642447333034517</c:v>
                </c:pt>
                <c:pt idx="184">
                  <c:v>0.21742447333034517</c:v>
                </c:pt>
                <c:pt idx="185">
                  <c:v>0.21842447333034518</c:v>
                </c:pt>
                <c:pt idx="186">
                  <c:v>0.21942447333034518</c:v>
                </c:pt>
                <c:pt idx="187">
                  <c:v>0.22042447333034518</c:v>
                </c:pt>
                <c:pt idx="188">
                  <c:v>0.22142447333034518</c:v>
                </c:pt>
                <c:pt idx="189">
                  <c:v>0.22242447333034518</c:v>
                </c:pt>
                <c:pt idx="190">
                  <c:v>0.22342447333034518</c:v>
                </c:pt>
                <c:pt idx="191">
                  <c:v>0.22442447333034518</c:v>
                </c:pt>
                <c:pt idx="192">
                  <c:v>0.22542447333034518</c:v>
                </c:pt>
                <c:pt idx="193">
                  <c:v>0.22642447333034518</c:v>
                </c:pt>
                <c:pt idx="194">
                  <c:v>0.22742447333034518</c:v>
                </c:pt>
                <c:pt idx="195">
                  <c:v>0.22842447333034518</c:v>
                </c:pt>
                <c:pt idx="196">
                  <c:v>0.22942447333034519</c:v>
                </c:pt>
                <c:pt idx="197">
                  <c:v>0.23042447333034519</c:v>
                </c:pt>
                <c:pt idx="198">
                  <c:v>0.23142447333034519</c:v>
                </c:pt>
                <c:pt idx="199">
                  <c:v>0.23242447333034519</c:v>
                </c:pt>
                <c:pt idx="200">
                  <c:v>0.23342447333034519</c:v>
                </c:pt>
                <c:pt idx="201">
                  <c:v>0.23442447333034519</c:v>
                </c:pt>
                <c:pt idx="202">
                  <c:v>0.23542447333034519</c:v>
                </c:pt>
                <c:pt idx="203">
                  <c:v>0.23642447333034519</c:v>
                </c:pt>
                <c:pt idx="204">
                  <c:v>0.23742447333034519</c:v>
                </c:pt>
                <c:pt idx="205">
                  <c:v>0.23842447333034519</c:v>
                </c:pt>
                <c:pt idx="206">
                  <c:v>0.23942447333034519</c:v>
                </c:pt>
                <c:pt idx="207">
                  <c:v>0.2404244733303452</c:v>
                </c:pt>
                <c:pt idx="208">
                  <c:v>0.2414244733303452</c:v>
                </c:pt>
                <c:pt idx="209">
                  <c:v>0.2424244733303452</c:v>
                </c:pt>
                <c:pt idx="210">
                  <c:v>0.2434244733303452</c:v>
                </c:pt>
                <c:pt idx="211">
                  <c:v>0.2444244733303452</c:v>
                </c:pt>
                <c:pt idx="212">
                  <c:v>0.2454244733303452</c:v>
                </c:pt>
                <c:pt idx="213">
                  <c:v>0.2464244733303452</c:v>
                </c:pt>
                <c:pt idx="214">
                  <c:v>0.2474244733303452</c:v>
                </c:pt>
                <c:pt idx="215">
                  <c:v>0.2484244733303452</c:v>
                </c:pt>
                <c:pt idx="216">
                  <c:v>0.2494244733303452</c:v>
                </c:pt>
                <c:pt idx="217">
                  <c:v>0.25042447333034518</c:v>
                </c:pt>
                <c:pt idx="218">
                  <c:v>0.25142447333034518</c:v>
                </c:pt>
                <c:pt idx="219">
                  <c:v>0.25242447333034518</c:v>
                </c:pt>
                <c:pt idx="220">
                  <c:v>0.25342447333034518</c:v>
                </c:pt>
                <c:pt idx="221">
                  <c:v>0.25442447333034518</c:v>
                </c:pt>
                <c:pt idx="222">
                  <c:v>0.25542447333034518</c:v>
                </c:pt>
                <c:pt idx="223">
                  <c:v>0.25642447333034518</c:v>
                </c:pt>
                <c:pt idx="224">
                  <c:v>0.25742447333034518</c:v>
                </c:pt>
                <c:pt idx="225">
                  <c:v>0.25842447333034518</c:v>
                </c:pt>
                <c:pt idx="226">
                  <c:v>0.25942447333034518</c:v>
                </c:pt>
                <c:pt idx="227">
                  <c:v>0.26042447333034519</c:v>
                </c:pt>
                <c:pt idx="228">
                  <c:v>0.26142447333034519</c:v>
                </c:pt>
                <c:pt idx="229">
                  <c:v>0.26242447333034519</c:v>
                </c:pt>
                <c:pt idx="230">
                  <c:v>0.26342447333034519</c:v>
                </c:pt>
                <c:pt idx="231">
                  <c:v>0.26442447333034519</c:v>
                </c:pt>
                <c:pt idx="232">
                  <c:v>0.26542447333034519</c:v>
                </c:pt>
                <c:pt idx="233">
                  <c:v>0.26642447333034519</c:v>
                </c:pt>
                <c:pt idx="234">
                  <c:v>0.26742447333034519</c:v>
                </c:pt>
                <c:pt idx="235">
                  <c:v>0.26842447333034519</c:v>
                </c:pt>
                <c:pt idx="236">
                  <c:v>0.26942447333034519</c:v>
                </c:pt>
                <c:pt idx="237">
                  <c:v>0.27042447333034519</c:v>
                </c:pt>
              </c:numCache>
            </c:numRef>
          </c:xVal>
          <c:yVal>
            <c:numRef>
              <c:f>'Proctor Report'!$S$3:$S$240</c:f>
              <c:numCache>
                <c:formatCode>0.0</c:formatCode>
                <c:ptCount val="238"/>
                <c:pt idx="0">
                  <c:v>162.45050561187341</c:v>
                </c:pt>
                <c:pt idx="1">
                  <c:v>162.02888660574123</c:v>
                </c:pt>
                <c:pt idx="2">
                  <c:v>161.60945044810751</c:v>
                </c:pt>
                <c:pt idx="3">
                  <c:v>161.19218023084593</c:v>
                </c:pt>
                <c:pt idx="4">
                  <c:v>160.77705922000538</c:v>
                </c:pt>
                <c:pt idx="5">
                  <c:v>160.3640708535728</c:v>
                </c:pt>
                <c:pt idx="6">
                  <c:v>159.95319873927068</c:v>
                </c:pt>
                <c:pt idx="7">
                  <c:v>159.54442665238821</c:v>
                </c:pt>
                <c:pt idx="8">
                  <c:v>159.13773853364549</c:v>
                </c:pt>
                <c:pt idx="9">
                  <c:v>158.73311848709048</c:v>
                </c:pt>
                <c:pt idx="10">
                  <c:v>158.33055077802794</c:v>
                </c:pt>
                <c:pt idx="11">
                  <c:v>157.93001983097969</c:v>
                </c:pt>
                <c:pt idx="12">
                  <c:v>157.53151022767582</c:v>
                </c:pt>
                <c:pt idx="13">
                  <c:v>157.13500670507631</c:v>
                </c:pt>
                <c:pt idx="14">
                  <c:v>156.74049415342236</c:v>
                </c:pt>
                <c:pt idx="15">
                  <c:v>156.34795761431704</c:v>
                </c:pt>
                <c:pt idx="16">
                  <c:v>155.95738227883456</c:v>
                </c:pt>
                <c:pt idx="17">
                  <c:v>155.56875348565811</c:v>
                </c:pt>
                <c:pt idx="18">
                  <c:v>155.18205671924528</c:v>
                </c:pt>
                <c:pt idx="19">
                  <c:v>154.79727760802066</c:v>
                </c:pt>
                <c:pt idx="20">
                  <c:v>154.41440192259557</c:v>
                </c:pt>
                <c:pt idx="21">
                  <c:v>154.03341557401384</c:v>
                </c:pt>
                <c:pt idx="22">
                  <c:v>153.65430461202379</c:v>
                </c:pt>
                <c:pt idx="23">
                  <c:v>153.27705522337527</c:v>
                </c:pt>
                <c:pt idx="24">
                  <c:v>152.90165373014219</c:v>
                </c:pt>
                <c:pt idx="25">
                  <c:v>152.52808658806936</c:v>
                </c:pt>
                <c:pt idx="26">
                  <c:v>152.15634038494329</c:v>
                </c:pt>
                <c:pt idx="27">
                  <c:v>151.78640183898753</c:v>
                </c:pt>
                <c:pt idx="28">
                  <c:v>151.41825779728038</c:v>
                </c:pt>
                <c:pt idx="29">
                  <c:v>151.05189523419628</c:v>
                </c:pt>
                <c:pt idx="30">
                  <c:v>150.68730124986953</c:v>
                </c:pt>
                <c:pt idx="31">
                  <c:v>150.32446306868013</c:v>
                </c:pt>
                <c:pt idx="32">
                  <c:v>149.96336803776154</c:v>
                </c:pt>
                <c:pt idx="33">
                  <c:v>149.60400362552994</c:v>
                </c:pt>
                <c:pt idx="34">
                  <c:v>149.24635742023452</c:v>
                </c:pt>
                <c:pt idx="35">
                  <c:v>148.89041712852841</c:v>
                </c:pt>
                <c:pt idx="36">
                  <c:v>148.53617057406026</c:v>
                </c:pt>
                <c:pt idx="37">
                  <c:v>148.18360569608569</c:v>
                </c:pt>
                <c:pt idx="38">
                  <c:v>147.83271054809848</c:v>
                </c:pt>
                <c:pt idx="39">
                  <c:v>147.48347329648118</c:v>
                </c:pt>
                <c:pt idx="40">
                  <c:v>147.13588221917499</c:v>
                </c:pt>
                <c:pt idx="41">
                  <c:v>146.78992570436802</c:v>
                </c:pt>
                <c:pt idx="42">
                  <c:v>146.44559224920235</c:v>
                </c:pt>
                <c:pt idx="43">
                  <c:v>146.1028704584991</c:v>
                </c:pt>
                <c:pt idx="44">
                  <c:v>145.7617490435014</c:v>
                </c:pt>
                <c:pt idx="45">
                  <c:v>145.42221682063482</c:v>
                </c:pt>
                <c:pt idx="46">
                  <c:v>145.08426271028537</c:v>
                </c:pt>
                <c:pt idx="47">
                  <c:v>144.74787573559405</c:v>
                </c:pt>
                <c:pt idx="48">
                  <c:v>144.4130450212686</c:v>
                </c:pt>
                <c:pt idx="49">
                  <c:v>144.07975979241141</c:v>
                </c:pt>
                <c:pt idx="50">
                  <c:v>143.74800937336363</c:v>
                </c:pt>
                <c:pt idx="51">
                  <c:v>143.41778318656546</c:v>
                </c:pt>
                <c:pt idx="52">
                  <c:v>143.08907075143182</c:v>
                </c:pt>
                <c:pt idx="53">
                  <c:v>142.76186168324344</c:v>
                </c:pt>
                <c:pt idx="54">
                  <c:v>142.43614569205357</c:v>
                </c:pt>
                <c:pt idx="55">
                  <c:v>142.11191258160906</c:v>
                </c:pt>
                <c:pt idx="56">
                  <c:v>141.78915224828648</c:v>
                </c:pt>
                <c:pt idx="57">
                  <c:v>141.46785468004256</c:v>
                </c:pt>
                <c:pt idx="58">
                  <c:v>141.14800995537902</c:v>
                </c:pt>
                <c:pt idx="59">
                  <c:v>140.8296082423212</c:v>
                </c:pt>
                <c:pt idx="60">
                  <c:v>140.51263979741069</c:v>
                </c:pt>
                <c:pt idx="61">
                  <c:v>140.19709496471134</c:v>
                </c:pt>
                <c:pt idx="62">
                  <c:v>139.88296417482886</c:v>
                </c:pt>
                <c:pt idx="63">
                  <c:v>139.57023794394334</c:v>
                </c:pt>
                <c:pt idx="64">
                  <c:v>139.25890687285479</c:v>
                </c:pt>
                <c:pt idx="65">
                  <c:v>138.94896164604162</c:v>
                </c:pt>
                <c:pt idx="66">
                  <c:v>138.64039303073136</c:v>
                </c:pt>
                <c:pt idx="67">
                  <c:v>138.33319187598391</c:v>
                </c:pt>
                <c:pt idx="68">
                  <c:v>138.027349111787</c:v>
                </c:pt>
                <c:pt idx="69">
                  <c:v>137.72285574816334</c:v>
                </c:pt>
                <c:pt idx="70">
                  <c:v>137.41970287429004</c:v>
                </c:pt>
                <c:pt idx="71">
                  <c:v>137.11788165762908</c:v>
                </c:pt>
                <c:pt idx="72">
                  <c:v>136.81738334306971</c:v>
                </c:pt>
                <c:pt idx="73">
                  <c:v>136.51819925208176</c:v>
                </c:pt>
                <c:pt idx="74">
                  <c:v>136.22032078188019</c:v>
                </c:pt>
                <c:pt idx="75">
                  <c:v>135.92373940460055</c:v>
                </c:pt>
                <c:pt idx="76">
                  <c:v>135.62844666648513</c:v>
                </c:pt>
                <c:pt idx="77">
                  <c:v>135.33443418707969</c:v>
                </c:pt>
                <c:pt idx="78">
                  <c:v>135.04169365844072</c:v>
                </c:pt>
                <c:pt idx="79">
                  <c:v>134.75021684435291</c:v>
                </c:pt>
                <c:pt idx="80">
                  <c:v>134.45999557955656</c:v>
                </c:pt>
                <c:pt idx="81">
                  <c:v>134.17102176898533</c:v>
                </c:pt>
                <c:pt idx="82">
                  <c:v>133.88328738701341</c:v>
                </c:pt>
                <c:pt idx="83">
                  <c:v>133.59678447671266</c:v>
                </c:pt>
                <c:pt idx="84">
                  <c:v>133.31150514911897</c:v>
                </c:pt>
                <c:pt idx="85">
                  <c:v>133.02744158250837</c:v>
                </c:pt>
                <c:pt idx="86">
                  <c:v>132.74458602168193</c:v>
                </c:pt>
                <c:pt idx="87">
                  <c:v>132.46293077726025</c:v>
                </c:pt>
                <c:pt idx="88">
                  <c:v>132.18246822498642</c:v>
                </c:pt>
                <c:pt idx="89">
                  <c:v>131.90319080503832</c:v>
                </c:pt>
                <c:pt idx="90">
                  <c:v>131.62509102134908</c:v>
                </c:pt>
                <c:pt idx="91">
                  <c:v>131.34816144093662</c:v>
                </c:pt>
                <c:pt idx="92">
                  <c:v>131.07239469324131</c:v>
                </c:pt>
                <c:pt idx="93">
                  <c:v>130.79778346947211</c:v>
                </c:pt>
                <c:pt idx="94">
                  <c:v>130.52432052196079</c:v>
                </c:pt>
                <c:pt idx="95">
                  <c:v>130.25199866352438</c:v>
                </c:pt>
                <c:pt idx="96">
                  <c:v>129.98081076683553</c:v>
                </c:pt>
                <c:pt idx="97">
                  <c:v>129.71074976380055</c:v>
                </c:pt>
                <c:pt idx="98">
                  <c:v>129.44180864494555</c:v>
                </c:pt>
                <c:pt idx="99">
                  <c:v>129.17398045880978</c:v>
                </c:pt>
                <c:pt idx="100">
                  <c:v>128.90725831134688</c:v>
                </c:pt>
                <c:pt idx="101">
                  <c:v>128.64163536533323</c:v>
                </c:pt>
                <c:pt idx="102">
                  <c:v>128.3771048397837</c:v>
                </c:pt>
                <c:pt idx="103">
                  <c:v>128.11366000937474</c:v>
                </c:pt>
                <c:pt idx="104">
                  <c:v>127.85129420387429</c:v>
                </c:pt>
                <c:pt idx="105">
                  <c:v>127.59000080757887</c:v>
                </c:pt>
                <c:pt idx="106">
                  <c:v>127.32977325875758</c:v>
                </c:pt>
                <c:pt idx="107">
                  <c:v>127.07060504910268</c:v>
                </c:pt>
                <c:pt idx="108">
                  <c:v>126.81248972318711</c:v>
                </c:pt>
                <c:pt idx="109">
                  <c:v>126.55542087792848</c:v>
                </c:pt>
                <c:pt idx="110">
                  <c:v>126.29939216205958</c:v>
                </c:pt>
                <c:pt idx="111">
                  <c:v>126.04439727560528</c:v>
                </c:pt>
                <c:pt idx="112">
                  <c:v>125.79042996936583</c:v>
                </c:pt>
                <c:pt idx="113">
                  <c:v>125.53748404440638</c:v>
                </c:pt>
                <c:pt idx="114">
                  <c:v>125.28555335155257</c:v>
                </c:pt>
                <c:pt idx="115">
                  <c:v>125.03463179089215</c:v>
                </c:pt>
                <c:pt idx="116">
                  <c:v>124.78471331128286</c:v>
                </c:pt>
                <c:pt idx="117">
                  <c:v>124.53579190986581</c:v>
                </c:pt>
                <c:pt idx="118">
                  <c:v>124.28786163158496</c:v>
                </c:pt>
                <c:pt idx="119">
                  <c:v>124.04091656871219</c:v>
                </c:pt>
                <c:pt idx="120">
                  <c:v>123.79495086037805</c:v>
                </c:pt>
                <c:pt idx="121">
                  <c:v>123.54995869210812</c:v>
                </c:pt>
                <c:pt idx="122">
                  <c:v>123.30593429536482</c:v>
                </c:pt>
                <c:pt idx="123">
                  <c:v>123.06287194709465</c:v>
                </c:pt>
                <c:pt idx="124">
                  <c:v>122.82076596928074</c:v>
                </c:pt>
                <c:pt idx="125">
                  <c:v>122.57961072850082</c:v>
                </c:pt>
                <c:pt idx="126">
                  <c:v>122.33940063549014</c:v>
                </c:pt>
                <c:pt idx="127">
                  <c:v>122.10013014470975</c:v>
                </c:pt>
                <c:pt idx="128">
                  <c:v>121.86179375391973</c:v>
                </c:pt>
                <c:pt idx="129">
                  <c:v>121.62438600375735</c:v>
                </c:pt>
                <c:pt idx="130">
                  <c:v>121.38790147732033</c:v>
                </c:pt>
                <c:pt idx="131">
                  <c:v>121.15233479975475</c:v>
                </c:pt>
                <c:pt idx="132">
                  <c:v>120.91768063784787</c:v>
                </c:pt>
                <c:pt idx="133">
                  <c:v>120.6839336996257</c:v>
                </c:pt>
                <c:pt idx="134">
                  <c:v>120.45108873395507</c:v>
                </c:pt>
                <c:pt idx="135">
                  <c:v>120.21914053015054</c:v>
                </c:pt>
                <c:pt idx="136">
                  <c:v>119.98808391758556</c:v>
                </c:pt>
                <c:pt idx="137">
                  <c:v>119.75791376530834</c:v>
                </c:pt>
                <c:pt idx="138">
                  <c:v>119.52862498166202</c:v>
                </c:pt>
                <c:pt idx="139">
                  <c:v>119.30021251390922</c:v>
                </c:pt>
                <c:pt idx="140">
                  <c:v>119.07267134786086</c:v>
                </c:pt>
                <c:pt idx="141">
                  <c:v>118.84599650750931</c:v>
                </c:pt>
                <c:pt idx="142">
                  <c:v>118.62018305466557</c:v>
                </c:pt>
                <c:pt idx="143">
                  <c:v>118.39522608860072</c:v>
                </c:pt>
                <c:pt idx="144">
                  <c:v>118.1711207456914</c:v>
                </c:pt>
                <c:pt idx="145">
                  <c:v>117.94786219906922</c:v>
                </c:pt>
                <c:pt idx="146">
                  <c:v>117.72544565827431</c:v>
                </c:pt>
                <c:pt idx="147">
                  <c:v>117.50386636891261</c:v>
                </c:pt>
                <c:pt idx="148">
                  <c:v>117.28311961231714</c:v>
                </c:pt>
                <c:pt idx="149">
                  <c:v>117.06320070521302</c:v>
                </c:pt>
                <c:pt idx="150">
                  <c:v>116.84410499938627</c:v>
                </c:pt>
                <c:pt idx="151">
                  <c:v>116.62582788135632</c:v>
                </c:pt>
                <c:pt idx="152">
                  <c:v>116.40836477205221</c:v>
                </c:pt>
                <c:pt idx="153">
                  <c:v>116.19171112649235</c:v>
                </c:pt>
                <c:pt idx="154">
                  <c:v>115.97586243346792</c:v>
                </c:pt>
                <c:pt idx="155">
                  <c:v>115.7608142152297</c:v>
                </c:pt>
                <c:pt idx="156">
                  <c:v>115.5465620271785</c:v>
                </c:pt>
                <c:pt idx="157">
                  <c:v>115.33310145755888</c:v>
                </c:pt>
                <c:pt idx="158">
                  <c:v>115.1204281271564</c:v>
                </c:pt>
                <c:pt idx="159">
                  <c:v>114.90853768899811</c:v>
                </c:pt>
                <c:pt idx="160">
                  <c:v>114.69742582805634</c:v>
                </c:pt>
                <c:pt idx="161">
                  <c:v>114.48708826095589</c:v>
                </c:pt>
                <c:pt idx="162">
                  <c:v>114.27752073568423</c:v>
                </c:pt>
                <c:pt idx="163">
                  <c:v>114.06871903130504</c:v>
                </c:pt>
                <c:pt idx="164">
                  <c:v>113.86067895767479</c:v>
                </c:pt>
                <c:pt idx="165">
                  <c:v>113.65339635516246</c:v>
                </c:pt>
                <c:pt idx="166">
                  <c:v>113.44686709437234</c:v>
                </c:pt>
                <c:pt idx="167">
                  <c:v>113.24108707586971</c:v>
                </c:pt>
                <c:pt idx="168">
                  <c:v>113.03605222990977</c:v>
                </c:pt>
                <c:pt idx="169">
                  <c:v>112.83175851616916</c:v>
                </c:pt>
                <c:pt idx="170">
                  <c:v>112.6282019234807</c:v>
                </c:pt>
                <c:pt idx="171">
                  <c:v>112.4253784695708</c:v>
                </c:pt>
                <c:pt idx="172">
                  <c:v>112.22328420079981</c:v>
                </c:pt>
                <c:pt idx="173">
                  <c:v>112.02191519190507</c:v>
                </c:pt>
                <c:pt idx="174">
                  <c:v>111.82126754574679</c:v>
                </c:pt>
                <c:pt idx="175">
                  <c:v>111.62133739305668</c:v>
                </c:pt>
                <c:pt idx="176">
                  <c:v>111.4221208921892</c:v>
                </c:pt>
                <c:pt idx="177">
                  <c:v>111.22361422887546</c:v>
                </c:pt>
                <c:pt idx="178">
                  <c:v>111.0258136159799</c:v>
                </c:pt>
                <c:pt idx="179">
                  <c:v>110.82871529325928</c:v>
                </c:pt>
                <c:pt idx="180">
                  <c:v>110.63231552712458</c:v>
                </c:pt>
                <c:pt idx="181">
                  <c:v>110.4366106104051</c:v>
                </c:pt>
                <c:pt idx="182">
                  <c:v>110.24159686211532</c:v>
                </c:pt>
                <c:pt idx="183">
                  <c:v>110.04727062722404</c:v>
                </c:pt>
                <c:pt idx="184">
                  <c:v>109.85362827642605</c:v>
                </c:pt>
                <c:pt idx="185">
                  <c:v>109.6606662059162</c:v>
                </c:pt>
                <c:pt idx="186">
                  <c:v>109.46838083716582</c:v>
                </c:pt>
                <c:pt idx="187">
                  <c:v>109.2767686167015</c:v>
                </c:pt>
                <c:pt idx="188">
                  <c:v>109.08582601588618</c:v>
                </c:pt>
                <c:pt idx="189">
                  <c:v>108.89554953070261</c:v>
                </c:pt>
                <c:pt idx="190">
                  <c:v>108.7059356815389</c:v>
                </c:pt>
                <c:pt idx="191">
                  <c:v>108.51698101297649</c:v>
                </c:pt>
                <c:pt idx="192">
                  <c:v>108.32868209358021</c:v>
                </c:pt>
                <c:pt idx="193">
                  <c:v>108.14103551569059</c:v>
                </c:pt>
                <c:pt idx="194">
                  <c:v>107.95403789521824</c:v>
                </c:pt>
                <c:pt idx="195">
                  <c:v>107.76768587144048</c:v>
                </c:pt>
                <c:pt idx="196">
                  <c:v>107.58197610679997</c:v>
                </c:pt>
                <c:pt idx="197">
                  <c:v>107.39690528670549</c:v>
                </c:pt>
                <c:pt idx="198">
                  <c:v>107.21247011933467</c:v>
                </c:pt>
                <c:pt idx="199">
                  <c:v>107.0286673354389</c:v>
                </c:pt>
                <c:pt idx="200">
                  <c:v>106.8454936881501</c:v>
                </c:pt>
                <c:pt idx="201">
                  <c:v>106.66294595278956</c:v>
                </c:pt>
                <c:pt idx="202">
                  <c:v>106.48102092667871</c:v>
                </c:pt>
                <c:pt idx="203">
                  <c:v>106.29971542895181</c:v>
                </c:pt>
                <c:pt idx="204">
                  <c:v>106.11902630037058</c:v>
                </c:pt>
                <c:pt idx="205">
                  <c:v>105.93895040314064</c:v>
                </c:pt>
                <c:pt idx="206">
                  <c:v>105.75948462072999</c:v>
                </c:pt>
                <c:pt idx="207">
                  <c:v>105.58062585768909</c:v>
                </c:pt>
                <c:pt idx="208">
                  <c:v>105.40237103947297</c:v>
                </c:pt>
                <c:pt idx="209">
                  <c:v>105.22471711226505</c:v>
                </c:pt>
                <c:pt idx="210">
                  <c:v>105.0476610428027</c:v>
                </c:pt>
                <c:pt idx="211">
                  <c:v>104.87119981820467</c:v>
                </c:pt>
                <c:pt idx="212">
                  <c:v>104.69533044580015</c:v>
                </c:pt>
                <c:pt idx="213">
                  <c:v>104.5200499529596</c:v>
                </c:pt>
                <c:pt idx="214">
                  <c:v>104.34535538692722</c:v>
                </c:pt>
                <c:pt idx="215">
                  <c:v>104.17124381465527</c:v>
                </c:pt>
                <c:pt idx="216">
                  <c:v>103.99771232263976</c:v>
                </c:pt>
                <c:pt idx="217">
                  <c:v>103.82475801675807</c:v>
                </c:pt>
                <c:pt idx="218">
                  <c:v>103.65237802210795</c:v>
                </c:pt>
                <c:pt idx="219">
                  <c:v>103.48056948284831</c:v>
                </c:pt>
                <c:pt idx="220">
                  <c:v>103.30932956204147</c:v>
                </c:pt>
                <c:pt idx="221">
                  <c:v>103.13865544149699</c:v>
                </c:pt>
                <c:pt idx="222">
                  <c:v>102.96854432161713</c:v>
                </c:pt>
                <c:pt idx="223">
                  <c:v>102.79899342124369</c:v>
                </c:pt>
                <c:pt idx="224">
                  <c:v>102.62999997750656</c:v>
                </c:pt>
                <c:pt idx="225">
                  <c:v>102.46156124567348</c:v>
                </c:pt>
                <c:pt idx="226">
                  <c:v>102.29367449900161</c:v>
                </c:pt>
                <c:pt idx="227">
                  <c:v>102.1263370285903</c:v>
                </c:pt>
                <c:pt idx="228">
                  <c:v>101.95954614323541</c:v>
                </c:pt>
                <c:pt idx="229">
                  <c:v>101.79329916928502</c:v>
                </c:pt>
                <c:pt idx="230">
                  <c:v>101.6275934504966</c:v>
                </c:pt>
                <c:pt idx="231">
                  <c:v>101.46242634789553</c:v>
                </c:pt>
                <c:pt idx="232">
                  <c:v>101.29779523963498</c:v>
                </c:pt>
                <c:pt idx="233">
                  <c:v>101.13369752085723</c:v>
                </c:pt>
                <c:pt idx="234">
                  <c:v>100.97013060355623</c:v>
                </c:pt>
                <c:pt idx="235">
                  <c:v>100.80709191644159</c:v>
                </c:pt>
                <c:pt idx="236">
                  <c:v>100.64457890480378</c:v>
                </c:pt>
                <c:pt idx="237">
                  <c:v>100.48258903038079</c:v>
                </c:pt>
              </c:numCache>
            </c:numRef>
          </c:yVal>
          <c:smooth val="1"/>
        </c:ser>
        <c:ser>
          <c:idx val="2"/>
          <c:order val="2"/>
          <c:tx>
            <c:v>Curve Fit</c:v>
          </c:tx>
          <c:spPr>
            <a:ln w="3175">
              <a:solidFill>
                <a:srgbClr val="000080"/>
              </a:solidFill>
              <a:prstDash val="solid"/>
            </a:ln>
          </c:spPr>
          <c:marker>
            <c:symbol val="none"/>
          </c:marker>
          <c:xVal>
            <c:numRef>
              <c:f>'Proctor Report'!$P$3:$P$240</c:f>
              <c:numCache>
                <c:formatCode>0.0\ %</c:formatCode>
                <c:ptCount val="238"/>
                <c:pt idx="0">
                  <c:v>3.3424473330345025E-2</c:v>
                </c:pt>
                <c:pt idx="1">
                  <c:v>3.4424473330345026E-2</c:v>
                </c:pt>
                <c:pt idx="2">
                  <c:v>3.5424473330345027E-2</c:v>
                </c:pt>
                <c:pt idx="3">
                  <c:v>3.6424473330345028E-2</c:v>
                </c:pt>
                <c:pt idx="4">
                  <c:v>3.7424473330345029E-2</c:v>
                </c:pt>
                <c:pt idx="5">
                  <c:v>3.842447333034503E-2</c:v>
                </c:pt>
                <c:pt idx="6">
                  <c:v>3.9424473330345031E-2</c:v>
                </c:pt>
                <c:pt idx="7">
                  <c:v>4.0424473330345032E-2</c:v>
                </c:pt>
                <c:pt idx="8">
                  <c:v>4.1424473330345032E-2</c:v>
                </c:pt>
                <c:pt idx="9">
                  <c:v>4.2424473330345033E-2</c:v>
                </c:pt>
                <c:pt idx="10">
                  <c:v>4.3424473330345034E-2</c:v>
                </c:pt>
                <c:pt idx="11">
                  <c:v>4.4424473330345035E-2</c:v>
                </c:pt>
                <c:pt idx="12">
                  <c:v>4.5424473330345036E-2</c:v>
                </c:pt>
                <c:pt idx="13">
                  <c:v>4.6424473330345037E-2</c:v>
                </c:pt>
                <c:pt idx="14">
                  <c:v>4.7424473330345038E-2</c:v>
                </c:pt>
                <c:pt idx="15">
                  <c:v>4.8424473330345039E-2</c:v>
                </c:pt>
                <c:pt idx="16">
                  <c:v>4.942447333034504E-2</c:v>
                </c:pt>
                <c:pt idx="17">
                  <c:v>5.042447333034504E-2</c:v>
                </c:pt>
                <c:pt idx="18">
                  <c:v>5.1424473330345041E-2</c:v>
                </c:pt>
                <c:pt idx="19">
                  <c:v>5.2424473330345042E-2</c:v>
                </c:pt>
                <c:pt idx="20">
                  <c:v>5.3424473330345043E-2</c:v>
                </c:pt>
                <c:pt idx="21">
                  <c:v>5.4424473330345044E-2</c:v>
                </c:pt>
                <c:pt idx="22">
                  <c:v>5.5424473330345045E-2</c:v>
                </c:pt>
                <c:pt idx="23">
                  <c:v>5.6424473330345046E-2</c:v>
                </c:pt>
                <c:pt idx="24">
                  <c:v>5.7424473330345047E-2</c:v>
                </c:pt>
                <c:pt idx="25">
                  <c:v>5.8424473330345048E-2</c:v>
                </c:pt>
                <c:pt idx="26">
                  <c:v>5.9424473330345048E-2</c:v>
                </c:pt>
                <c:pt idx="27">
                  <c:v>6.0424473330345049E-2</c:v>
                </c:pt>
                <c:pt idx="28">
                  <c:v>6.142447333034505E-2</c:v>
                </c:pt>
                <c:pt idx="29">
                  <c:v>6.2424473330345051E-2</c:v>
                </c:pt>
                <c:pt idx="30">
                  <c:v>6.3424473330345052E-2</c:v>
                </c:pt>
                <c:pt idx="31">
                  <c:v>6.4424473330345053E-2</c:v>
                </c:pt>
                <c:pt idx="32">
                  <c:v>6.5424473330345054E-2</c:v>
                </c:pt>
                <c:pt idx="33">
                  <c:v>6.6424473330345055E-2</c:v>
                </c:pt>
                <c:pt idx="34">
                  <c:v>6.7424473330345056E-2</c:v>
                </c:pt>
                <c:pt idx="35">
                  <c:v>6.8424473330345056E-2</c:v>
                </c:pt>
                <c:pt idx="36">
                  <c:v>6.9424473330345057E-2</c:v>
                </c:pt>
                <c:pt idx="37">
                  <c:v>7.0424473330345058E-2</c:v>
                </c:pt>
                <c:pt idx="38">
                  <c:v>7.1424473330345059E-2</c:v>
                </c:pt>
                <c:pt idx="39">
                  <c:v>7.242447333034506E-2</c:v>
                </c:pt>
                <c:pt idx="40">
                  <c:v>7.3424473330345061E-2</c:v>
                </c:pt>
                <c:pt idx="41">
                  <c:v>7.4424473330345062E-2</c:v>
                </c:pt>
                <c:pt idx="42">
                  <c:v>7.5424473330345063E-2</c:v>
                </c:pt>
                <c:pt idx="43">
                  <c:v>7.6424473330345064E-2</c:v>
                </c:pt>
                <c:pt idx="44">
                  <c:v>7.7424473330345064E-2</c:v>
                </c:pt>
                <c:pt idx="45">
                  <c:v>7.8424473330345065E-2</c:v>
                </c:pt>
                <c:pt idx="46">
                  <c:v>7.9424473330345066E-2</c:v>
                </c:pt>
                <c:pt idx="47">
                  <c:v>8.0424473330345067E-2</c:v>
                </c:pt>
                <c:pt idx="48">
                  <c:v>8.1424473330345068E-2</c:v>
                </c:pt>
                <c:pt idx="49">
                  <c:v>8.2424473330345069E-2</c:v>
                </c:pt>
                <c:pt idx="50">
                  <c:v>8.342447333034507E-2</c:v>
                </c:pt>
                <c:pt idx="51">
                  <c:v>8.4424473330345071E-2</c:v>
                </c:pt>
                <c:pt idx="52">
                  <c:v>8.5424473330345072E-2</c:v>
                </c:pt>
                <c:pt idx="53">
                  <c:v>8.6424473330345072E-2</c:v>
                </c:pt>
                <c:pt idx="54">
                  <c:v>8.7424473330345073E-2</c:v>
                </c:pt>
                <c:pt idx="55">
                  <c:v>8.8424473330345074E-2</c:v>
                </c:pt>
                <c:pt idx="56">
                  <c:v>8.9424473330345075E-2</c:v>
                </c:pt>
                <c:pt idx="57">
                  <c:v>9.0424473330345076E-2</c:v>
                </c:pt>
                <c:pt idx="58">
                  <c:v>9.1424473330345077E-2</c:v>
                </c:pt>
                <c:pt idx="59">
                  <c:v>9.2424473330345078E-2</c:v>
                </c:pt>
                <c:pt idx="60">
                  <c:v>9.3424473330345079E-2</c:v>
                </c:pt>
                <c:pt idx="61">
                  <c:v>9.442447333034508E-2</c:v>
                </c:pt>
                <c:pt idx="62">
                  <c:v>9.542447333034508E-2</c:v>
                </c:pt>
                <c:pt idx="63">
                  <c:v>9.6424473330345081E-2</c:v>
                </c:pt>
                <c:pt idx="64">
                  <c:v>9.7424473330345082E-2</c:v>
                </c:pt>
                <c:pt idx="65">
                  <c:v>9.8424473330345083E-2</c:v>
                </c:pt>
                <c:pt idx="66">
                  <c:v>9.9424473330345084E-2</c:v>
                </c:pt>
                <c:pt idx="67">
                  <c:v>0.10042447333034508</c:v>
                </c:pt>
                <c:pt idx="68">
                  <c:v>0.10142447333034509</c:v>
                </c:pt>
                <c:pt idx="69">
                  <c:v>0.10242447333034509</c:v>
                </c:pt>
                <c:pt idx="70">
                  <c:v>0.10342447333034509</c:v>
                </c:pt>
                <c:pt idx="71">
                  <c:v>0.10442447333034509</c:v>
                </c:pt>
                <c:pt idx="72">
                  <c:v>0.10542447333034509</c:v>
                </c:pt>
                <c:pt idx="73">
                  <c:v>0.10642447333034509</c:v>
                </c:pt>
                <c:pt idx="74">
                  <c:v>0.10742447333034509</c:v>
                </c:pt>
                <c:pt idx="75">
                  <c:v>0.10842447333034509</c:v>
                </c:pt>
                <c:pt idx="76">
                  <c:v>0.10942447333034509</c:v>
                </c:pt>
                <c:pt idx="77">
                  <c:v>0.11042447333034509</c:v>
                </c:pt>
                <c:pt idx="78">
                  <c:v>0.11142447333034509</c:v>
                </c:pt>
                <c:pt idx="79">
                  <c:v>0.1124244733303451</c:v>
                </c:pt>
                <c:pt idx="80">
                  <c:v>0.1134244733303451</c:v>
                </c:pt>
                <c:pt idx="81">
                  <c:v>0.1144244733303451</c:v>
                </c:pt>
                <c:pt idx="82">
                  <c:v>0.1154244733303451</c:v>
                </c:pt>
                <c:pt idx="83">
                  <c:v>0.1164244733303451</c:v>
                </c:pt>
                <c:pt idx="84">
                  <c:v>0.1174244733303451</c:v>
                </c:pt>
                <c:pt idx="85">
                  <c:v>0.1184244733303451</c:v>
                </c:pt>
                <c:pt idx="86">
                  <c:v>0.1194244733303451</c:v>
                </c:pt>
                <c:pt idx="87">
                  <c:v>0.1204244733303451</c:v>
                </c:pt>
                <c:pt idx="88">
                  <c:v>0.1214244733303451</c:v>
                </c:pt>
                <c:pt idx="89">
                  <c:v>0.1224244733303451</c:v>
                </c:pt>
                <c:pt idx="90">
                  <c:v>0.12342447333034511</c:v>
                </c:pt>
                <c:pt idx="91">
                  <c:v>0.12442447333034511</c:v>
                </c:pt>
                <c:pt idx="92">
                  <c:v>0.12542447333034509</c:v>
                </c:pt>
                <c:pt idx="93">
                  <c:v>0.12642447333034509</c:v>
                </c:pt>
                <c:pt idx="94">
                  <c:v>0.12742447333034509</c:v>
                </c:pt>
                <c:pt idx="95">
                  <c:v>0.1284244733303451</c:v>
                </c:pt>
                <c:pt idx="96">
                  <c:v>0.1294244733303451</c:v>
                </c:pt>
                <c:pt idx="97">
                  <c:v>0.1304244733303451</c:v>
                </c:pt>
                <c:pt idx="98">
                  <c:v>0.1314244733303451</c:v>
                </c:pt>
                <c:pt idx="99">
                  <c:v>0.1324244733303451</c:v>
                </c:pt>
                <c:pt idx="100">
                  <c:v>0.1334244733303451</c:v>
                </c:pt>
                <c:pt idx="101">
                  <c:v>0.1344244733303451</c:v>
                </c:pt>
                <c:pt idx="102">
                  <c:v>0.1354244733303451</c:v>
                </c:pt>
                <c:pt idx="103">
                  <c:v>0.1364244733303451</c:v>
                </c:pt>
                <c:pt idx="104">
                  <c:v>0.1374244733303451</c:v>
                </c:pt>
                <c:pt idx="105">
                  <c:v>0.1384244733303451</c:v>
                </c:pt>
                <c:pt idx="106">
                  <c:v>0.13942447333034511</c:v>
                </c:pt>
                <c:pt idx="107">
                  <c:v>0.14042447333034511</c:v>
                </c:pt>
                <c:pt idx="108">
                  <c:v>0.14142447333034511</c:v>
                </c:pt>
                <c:pt idx="109">
                  <c:v>0.14242447333034511</c:v>
                </c:pt>
                <c:pt idx="110">
                  <c:v>0.14342447333034511</c:v>
                </c:pt>
                <c:pt idx="111">
                  <c:v>0.14442447333034511</c:v>
                </c:pt>
                <c:pt idx="112">
                  <c:v>0.14542447333034511</c:v>
                </c:pt>
                <c:pt idx="113">
                  <c:v>0.14642447333034511</c:v>
                </c:pt>
                <c:pt idx="114">
                  <c:v>0.14742447333034511</c:v>
                </c:pt>
                <c:pt idx="115">
                  <c:v>0.14842447333034511</c:v>
                </c:pt>
                <c:pt idx="116">
                  <c:v>0.14942447333034511</c:v>
                </c:pt>
                <c:pt idx="117">
                  <c:v>0.15042447333034512</c:v>
                </c:pt>
                <c:pt idx="118">
                  <c:v>0.15142447333034512</c:v>
                </c:pt>
                <c:pt idx="119">
                  <c:v>0.15242447333034512</c:v>
                </c:pt>
                <c:pt idx="120">
                  <c:v>0.15342447333034512</c:v>
                </c:pt>
                <c:pt idx="121">
                  <c:v>0.15442447333034512</c:v>
                </c:pt>
                <c:pt idx="122">
                  <c:v>0.15542447333034512</c:v>
                </c:pt>
                <c:pt idx="123">
                  <c:v>0.15642447333034512</c:v>
                </c:pt>
                <c:pt idx="124">
                  <c:v>0.15742447333034512</c:v>
                </c:pt>
                <c:pt idx="125">
                  <c:v>0.15842447333034512</c:v>
                </c:pt>
                <c:pt idx="126">
                  <c:v>0.15942447333034512</c:v>
                </c:pt>
                <c:pt idx="127">
                  <c:v>0.16042447333034512</c:v>
                </c:pt>
                <c:pt idx="128">
                  <c:v>0.16142447333034513</c:v>
                </c:pt>
                <c:pt idx="129">
                  <c:v>0.16242447333034513</c:v>
                </c:pt>
                <c:pt idx="130">
                  <c:v>0.16342447333034513</c:v>
                </c:pt>
                <c:pt idx="131">
                  <c:v>0.16442447333034513</c:v>
                </c:pt>
                <c:pt idx="132">
                  <c:v>0.16542447333034513</c:v>
                </c:pt>
                <c:pt idx="133">
                  <c:v>0.16642447333034513</c:v>
                </c:pt>
                <c:pt idx="134">
                  <c:v>0.16742447333034513</c:v>
                </c:pt>
                <c:pt idx="135">
                  <c:v>0.16842447333034513</c:v>
                </c:pt>
                <c:pt idx="136">
                  <c:v>0.16942447333034513</c:v>
                </c:pt>
                <c:pt idx="137">
                  <c:v>0.17042447333034513</c:v>
                </c:pt>
                <c:pt idx="138">
                  <c:v>0.17142447333034513</c:v>
                </c:pt>
                <c:pt idx="139">
                  <c:v>0.17242447333034513</c:v>
                </c:pt>
                <c:pt idx="140">
                  <c:v>0.17342447333034514</c:v>
                </c:pt>
                <c:pt idx="141">
                  <c:v>0.17442447333034514</c:v>
                </c:pt>
                <c:pt idx="142">
                  <c:v>0.17542447333034514</c:v>
                </c:pt>
                <c:pt idx="143">
                  <c:v>0.17642447333034514</c:v>
                </c:pt>
                <c:pt idx="144">
                  <c:v>0.17742447333034514</c:v>
                </c:pt>
                <c:pt idx="145">
                  <c:v>0.17842447333034514</c:v>
                </c:pt>
                <c:pt idx="146">
                  <c:v>0.17942447333034514</c:v>
                </c:pt>
                <c:pt idx="147">
                  <c:v>0.18042447333034514</c:v>
                </c:pt>
                <c:pt idx="148">
                  <c:v>0.18142447333034514</c:v>
                </c:pt>
                <c:pt idx="149">
                  <c:v>0.18242447333034514</c:v>
                </c:pt>
                <c:pt idx="150">
                  <c:v>0.18342447333034514</c:v>
                </c:pt>
                <c:pt idx="151">
                  <c:v>0.18442447333034515</c:v>
                </c:pt>
                <c:pt idx="152">
                  <c:v>0.18542447333034515</c:v>
                </c:pt>
                <c:pt idx="153">
                  <c:v>0.18642447333034515</c:v>
                </c:pt>
                <c:pt idx="154">
                  <c:v>0.18742447333034515</c:v>
                </c:pt>
                <c:pt idx="155">
                  <c:v>0.18842447333034515</c:v>
                </c:pt>
                <c:pt idx="156">
                  <c:v>0.18942447333034515</c:v>
                </c:pt>
                <c:pt idx="157">
                  <c:v>0.19042447333034515</c:v>
                </c:pt>
                <c:pt idx="158">
                  <c:v>0.19142447333034515</c:v>
                </c:pt>
                <c:pt idx="159">
                  <c:v>0.19242447333034515</c:v>
                </c:pt>
                <c:pt idx="160">
                  <c:v>0.19342447333034515</c:v>
                </c:pt>
                <c:pt idx="161">
                  <c:v>0.19442447333034515</c:v>
                </c:pt>
                <c:pt idx="162">
                  <c:v>0.19542447333034516</c:v>
                </c:pt>
                <c:pt idx="163">
                  <c:v>0.19642447333034516</c:v>
                </c:pt>
                <c:pt idx="164">
                  <c:v>0.19742447333034516</c:v>
                </c:pt>
                <c:pt idx="165">
                  <c:v>0.19842447333034516</c:v>
                </c:pt>
                <c:pt idx="166">
                  <c:v>0.19942447333034516</c:v>
                </c:pt>
                <c:pt idx="167">
                  <c:v>0.20042447333034516</c:v>
                </c:pt>
                <c:pt idx="168">
                  <c:v>0.20142447333034516</c:v>
                </c:pt>
                <c:pt idx="169">
                  <c:v>0.20242447333034516</c:v>
                </c:pt>
                <c:pt idx="170">
                  <c:v>0.20342447333034516</c:v>
                </c:pt>
                <c:pt idx="171">
                  <c:v>0.20442447333034516</c:v>
                </c:pt>
                <c:pt idx="172">
                  <c:v>0.20542447333034516</c:v>
                </c:pt>
                <c:pt idx="173">
                  <c:v>0.20642447333034517</c:v>
                </c:pt>
                <c:pt idx="174">
                  <c:v>0.20742447333034517</c:v>
                </c:pt>
                <c:pt idx="175">
                  <c:v>0.20842447333034517</c:v>
                </c:pt>
                <c:pt idx="176">
                  <c:v>0.20942447333034517</c:v>
                </c:pt>
                <c:pt idx="177">
                  <c:v>0.21042447333034517</c:v>
                </c:pt>
                <c:pt idx="178">
                  <c:v>0.21142447333034517</c:v>
                </c:pt>
                <c:pt idx="179">
                  <c:v>0.21242447333034517</c:v>
                </c:pt>
                <c:pt idx="180">
                  <c:v>0.21342447333034517</c:v>
                </c:pt>
                <c:pt idx="181">
                  <c:v>0.21442447333034517</c:v>
                </c:pt>
                <c:pt idx="182">
                  <c:v>0.21542447333034517</c:v>
                </c:pt>
                <c:pt idx="183">
                  <c:v>0.21642447333034517</c:v>
                </c:pt>
                <c:pt idx="184">
                  <c:v>0.21742447333034517</c:v>
                </c:pt>
                <c:pt idx="185">
                  <c:v>0.21842447333034518</c:v>
                </c:pt>
                <c:pt idx="186">
                  <c:v>0.21942447333034518</c:v>
                </c:pt>
                <c:pt idx="187">
                  <c:v>0.22042447333034518</c:v>
                </c:pt>
                <c:pt idx="188">
                  <c:v>0.22142447333034518</c:v>
                </c:pt>
                <c:pt idx="189">
                  <c:v>0.22242447333034518</c:v>
                </c:pt>
                <c:pt idx="190">
                  <c:v>0.22342447333034518</c:v>
                </c:pt>
                <c:pt idx="191">
                  <c:v>0.22442447333034518</c:v>
                </c:pt>
                <c:pt idx="192">
                  <c:v>0.22542447333034518</c:v>
                </c:pt>
                <c:pt idx="193">
                  <c:v>0.22642447333034518</c:v>
                </c:pt>
                <c:pt idx="194">
                  <c:v>0.22742447333034518</c:v>
                </c:pt>
                <c:pt idx="195">
                  <c:v>0.22842447333034518</c:v>
                </c:pt>
                <c:pt idx="196">
                  <c:v>0.22942447333034519</c:v>
                </c:pt>
                <c:pt idx="197">
                  <c:v>0.23042447333034519</c:v>
                </c:pt>
                <c:pt idx="198">
                  <c:v>0.23142447333034519</c:v>
                </c:pt>
                <c:pt idx="199">
                  <c:v>0.23242447333034519</c:v>
                </c:pt>
                <c:pt idx="200">
                  <c:v>0.23342447333034519</c:v>
                </c:pt>
                <c:pt idx="201">
                  <c:v>0.23442447333034519</c:v>
                </c:pt>
                <c:pt idx="202">
                  <c:v>0.23542447333034519</c:v>
                </c:pt>
                <c:pt idx="203">
                  <c:v>0.23642447333034519</c:v>
                </c:pt>
                <c:pt idx="204">
                  <c:v>0.23742447333034519</c:v>
                </c:pt>
                <c:pt idx="205">
                  <c:v>0.23842447333034519</c:v>
                </c:pt>
                <c:pt idx="206">
                  <c:v>0.23942447333034519</c:v>
                </c:pt>
                <c:pt idx="207">
                  <c:v>0.2404244733303452</c:v>
                </c:pt>
                <c:pt idx="208">
                  <c:v>0.2414244733303452</c:v>
                </c:pt>
                <c:pt idx="209">
                  <c:v>0.2424244733303452</c:v>
                </c:pt>
                <c:pt idx="210">
                  <c:v>0.2434244733303452</c:v>
                </c:pt>
                <c:pt idx="211">
                  <c:v>0.2444244733303452</c:v>
                </c:pt>
                <c:pt idx="212">
                  <c:v>0.2454244733303452</c:v>
                </c:pt>
                <c:pt idx="213">
                  <c:v>0.2464244733303452</c:v>
                </c:pt>
                <c:pt idx="214">
                  <c:v>0.2474244733303452</c:v>
                </c:pt>
                <c:pt idx="215">
                  <c:v>0.2484244733303452</c:v>
                </c:pt>
                <c:pt idx="216">
                  <c:v>0.2494244733303452</c:v>
                </c:pt>
                <c:pt idx="217">
                  <c:v>0.25042447333034518</c:v>
                </c:pt>
                <c:pt idx="218">
                  <c:v>0.25142447333034518</c:v>
                </c:pt>
                <c:pt idx="219">
                  <c:v>0.25242447333034518</c:v>
                </c:pt>
                <c:pt idx="220">
                  <c:v>0.25342447333034518</c:v>
                </c:pt>
                <c:pt idx="221">
                  <c:v>0.25442447333034518</c:v>
                </c:pt>
                <c:pt idx="222">
                  <c:v>0.25542447333034518</c:v>
                </c:pt>
                <c:pt idx="223">
                  <c:v>0.25642447333034518</c:v>
                </c:pt>
                <c:pt idx="224">
                  <c:v>0.25742447333034518</c:v>
                </c:pt>
                <c:pt idx="225">
                  <c:v>0.25842447333034518</c:v>
                </c:pt>
                <c:pt idx="226">
                  <c:v>0.25942447333034518</c:v>
                </c:pt>
                <c:pt idx="227">
                  <c:v>0.26042447333034519</c:v>
                </c:pt>
                <c:pt idx="228">
                  <c:v>0.26142447333034519</c:v>
                </c:pt>
                <c:pt idx="229">
                  <c:v>0.26242447333034519</c:v>
                </c:pt>
                <c:pt idx="230">
                  <c:v>0.26342447333034519</c:v>
                </c:pt>
                <c:pt idx="231">
                  <c:v>0.26442447333034519</c:v>
                </c:pt>
                <c:pt idx="232">
                  <c:v>0.26542447333034519</c:v>
                </c:pt>
                <c:pt idx="233">
                  <c:v>0.26642447333034519</c:v>
                </c:pt>
                <c:pt idx="234">
                  <c:v>0.26742447333034519</c:v>
                </c:pt>
                <c:pt idx="235">
                  <c:v>0.26842447333034519</c:v>
                </c:pt>
                <c:pt idx="236">
                  <c:v>0.26942447333034519</c:v>
                </c:pt>
                <c:pt idx="237">
                  <c:v>0.27042447333034519</c:v>
                </c:pt>
              </c:numCache>
            </c:numRef>
          </c:xVal>
          <c:yVal>
            <c:numRef>
              <c:f>'Proctor Report'!$Q$3:$Q$240</c:f>
              <c:numCache>
                <c:formatCode>0.00</c:formatCode>
                <c:ptCount val="238"/>
                <c:pt idx="0">
                  <c:v>106.75039338858571</c:v>
                </c:pt>
                <c:pt idx="1">
                  <c:v>107.8096069870428</c:v>
                </c:pt>
                <c:pt idx="2">
                  <c:v>108.8504724886261</c:v>
                </c:pt>
                <c:pt idx="3">
                  <c:v>109.8729898933356</c:v>
                </c:pt>
                <c:pt idx="4">
                  <c:v>110.87715920117128</c:v>
                </c:pt>
                <c:pt idx="5">
                  <c:v>111.86298041213317</c:v>
                </c:pt>
                <c:pt idx="6">
                  <c:v>112.83045352622128</c:v>
                </c:pt>
                <c:pt idx="7">
                  <c:v>113.77957854343558</c:v>
                </c:pt>
                <c:pt idx="8">
                  <c:v>114.71035546377607</c:v>
                </c:pt>
                <c:pt idx="9">
                  <c:v>115.62278428724274</c:v>
                </c:pt>
                <c:pt idx="10">
                  <c:v>116.51686501383563</c:v>
                </c:pt>
                <c:pt idx="11">
                  <c:v>117.39259764355472</c:v>
                </c:pt>
                <c:pt idx="12">
                  <c:v>118.24998217640001</c:v>
                </c:pt>
                <c:pt idx="13">
                  <c:v>119.0890186123715</c:v>
                </c:pt>
                <c:pt idx="14">
                  <c:v>119.90970695146916</c:v>
                </c:pt>
                <c:pt idx="15">
                  <c:v>120.71204719369305</c:v>
                </c:pt>
                <c:pt idx="16">
                  <c:v>121.49603933904314</c:v>
                </c:pt>
                <c:pt idx="17">
                  <c:v>122.26168338751941</c:v>
                </c:pt>
                <c:pt idx="18">
                  <c:v>123.00897933912188</c:v>
                </c:pt>
                <c:pt idx="19">
                  <c:v>123.73792719385057</c:v>
                </c:pt>
                <c:pt idx="20">
                  <c:v>124.44852695170545</c:v>
                </c:pt>
                <c:pt idx="21">
                  <c:v>125.14077861268652</c:v>
                </c:pt>
                <c:pt idx="22">
                  <c:v>125.81468217679378</c:v>
                </c:pt>
                <c:pt idx="23">
                  <c:v>126.47023764402726</c:v>
                </c:pt>
                <c:pt idx="24">
                  <c:v>127.10744501438694</c:v>
                </c:pt>
                <c:pt idx="25">
                  <c:v>127.72630428787281</c:v>
                </c:pt>
                <c:pt idx="26">
                  <c:v>128.32681546448487</c:v>
                </c:pt>
                <c:pt idx="27">
                  <c:v>128.90897854422315</c:v>
                </c:pt>
                <c:pt idx="28">
                  <c:v>129.47279352708762</c:v>
                </c:pt>
                <c:pt idx="29">
                  <c:v>130.01826041307828</c:v>
                </c:pt>
                <c:pt idx="30">
                  <c:v>130.54537920219514</c:v>
                </c:pt>
                <c:pt idx="31">
                  <c:v>131.05414989443818</c:v>
                </c:pt>
                <c:pt idx="32">
                  <c:v>131.54457248980745</c:v>
                </c:pt>
                <c:pt idx="33">
                  <c:v>132.01664698830291</c:v>
                </c:pt>
                <c:pt idx="34">
                  <c:v>132.47037338992459</c:v>
                </c:pt>
                <c:pt idx="35">
                  <c:v>132.9057516946724</c:v>
                </c:pt>
                <c:pt idx="36">
                  <c:v>133.32278190254647</c:v>
                </c:pt>
                <c:pt idx="37">
                  <c:v>133.72146401354672</c:v>
                </c:pt>
                <c:pt idx="38">
                  <c:v>134.1017980276732</c:v>
                </c:pt>
                <c:pt idx="39">
                  <c:v>134.46378394492584</c:v>
                </c:pt>
                <c:pt idx="40">
                  <c:v>134.8074217653047</c:v>
                </c:pt>
                <c:pt idx="41">
                  <c:v>135.13271148880975</c:v>
                </c:pt>
                <c:pt idx="42">
                  <c:v>135.43965311544099</c:v>
                </c:pt>
                <c:pt idx="43">
                  <c:v>135.72824664519842</c:v>
                </c:pt>
                <c:pt idx="44">
                  <c:v>135.99849207808208</c:v>
                </c:pt>
                <c:pt idx="45">
                  <c:v>136.25038941409193</c:v>
                </c:pt>
                <c:pt idx="46">
                  <c:v>136.48393865322797</c:v>
                </c:pt>
                <c:pt idx="47">
                  <c:v>136.69913979549023</c:v>
                </c:pt>
                <c:pt idx="48">
                  <c:v>136.89599284087865</c:v>
                </c:pt>
                <c:pt idx="49">
                  <c:v>137.07449778939332</c:v>
                </c:pt>
                <c:pt idx="50">
                  <c:v>137.23465464103413</c:v>
                </c:pt>
                <c:pt idx="51">
                  <c:v>137.37646339580115</c:v>
                </c:pt>
                <c:pt idx="52">
                  <c:v>137.4999240536944</c:v>
                </c:pt>
                <c:pt idx="53">
                  <c:v>137.60503661471384</c:v>
                </c:pt>
                <c:pt idx="54">
                  <c:v>137.69180107885947</c:v>
                </c:pt>
                <c:pt idx="55">
                  <c:v>137.76021744613132</c:v>
                </c:pt>
                <c:pt idx="56">
                  <c:v>137.81028571652934</c:v>
                </c:pt>
                <c:pt idx="57">
                  <c:v>137.84200589005357</c:v>
                </c:pt>
                <c:pt idx="58">
                  <c:v>137.855377966704</c:v>
                </c:pt>
                <c:pt idx="59">
                  <c:v>137.85040194648059</c:v>
                </c:pt>
                <c:pt idx="60">
                  <c:v>137.82707782938343</c:v>
                </c:pt>
                <c:pt idx="61">
                  <c:v>137.78540561541246</c:v>
                </c:pt>
                <c:pt idx="62">
                  <c:v>137.72538530456768</c:v>
                </c:pt>
                <c:pt idx="63">
                  <c:v>137.6470168968491</c:v>
                </c:pt>
                <c:pt idx="64">
                  <c:v>137.55030039225676</c:v>
                </c:pt>
                <c:pt idx="65">
                  <c:v>137.43523579079056</c:v>
                </c:pt>
                <c:pt idx="66">
                  <c:v>137.3018230924506</c:v>
                </c:pt>
                <c:pt idx="67">
                  <c:v>137.15006229723679</c:v>
                </c:pt>
                <c:pt idx="68">
                  <c:v>136.97995340514919</c:v>
                </c:pt>
                <c:pt idx="69">
                  <c:v>136.79149641618781</c:v>
                </c:pt>
                <c:pt idx="70">
                  <c:v>136.58469133035263</c:v>
                </c:pt>
                <c:pt idx="71">
                  <c:v>136.35953814764366</c:v>
                </c:pt>
                <c:pt idx="72">
                  <c:v>136.11603686806086</c:v>
                </c:pt>
                <c:pt idx="73">
                  <c:v>135.85418749160428</c:v>
                </c:pt>
                <c:pt idx="74">
                  <c:v>135.57399001827389</c:v>
                </c:pt>
                <c:pt idx="75">
                  <c:v>135.27544444806969</c:v>
                </c:pt>
                <c:pt idx="76">
                  <c:v>134.95855078099169</c:v>
                </c:pt>
                <c:pt idx="77">
                  <c:v>134.6233090170399</c:v>
                </c:pt>
                <c:pt idx="78">
                  <c:v>134.26971915621431</c:v>
                </c:pt>
                <c:pt idx="79">
                  <c:v>133.89778119851491</c:v>
                </c:pt>
                <c:pt idx="80">
                  <c:v>133.5074951439417</c:v>
                </c:pt>
                <c:pt idx="81">
                  <c:v>133.09886099249471</c:v>
                </c:pt>
                <c:pt idx="82">
                  <c:v>132.67187874417391</c:v>
                </c:pt>
                <c:pt idx="83">
                  <c:v>132.22654839897933</c:v>
                </c:pt>
                <c:pt idx="84">
                  <c:v>131.76286995691089</c:v>
                </c:pt>
                <c:pt idx="85">
                  <c:v>131.2808434179687</c:v>
                </c:pt>
                <c:pt idx="86">
                  <c:v>130.78046878215267</c:v>
                </c:pt>
                <c:pt idx="87">
                  <c:v>130.26174604946289</c:v>
                </c:pt>
                <c:pt idx="88">
                  <c:v>129.72467521989927</c:v>
                </c:pt>
                <c:pt idx="89">
                  <c:v>129.16925629346187</c:v>
                </c:pt>
                <c:pt idx="90">
                  <c:v>128.59548927015067</c:v>
                </c:pt>
                <c:pt idx="91">
                  <c:v>128.00337414996565</c:v>
                </c:pt>
                <c:pt idx="92">
                  <c:v>127.39291093290686</c:v>
                </c:pt>
                <c:pt idx="93">
                  <c:v>126.76409961897423</c:v>
                </c:pt>
                <c:pt idx="94">
                  <c:v>126.11694020816782</c:v>
                </c:pt>
                <c:pt idx="95">
                  <c:v>125.45143270048757</c:v>
                </c:pt>
                <c:pt idx="96">
                  <c:v>124.76757709593358</c:v>
                </c:pt>
                <c:pt idx="97">
                  <c:v>124.06537339450574</c:v>
                </c:pt>
                <c:pt idx="98">
                  <c:v>123.34482159620413</c:v>
                </c:pt>
                <c:pt idx="99">
                  <c:v>122.60592170102871</c:v>
                </c:pt>
                <c:pt idx="100">
                  <c:v>121.84867370897948</c:v>
                </c:pt>
                <c:pt idx="101">
                  <c:v>121.07307762005647</c:v>
                </c:pt>
                <c:pt idx="102">
                  <c:v>120.27913343425965</c:v>
                </c:pt>
                <c:pt idx="103">
                  <c:v>119.46684115158899</c:v>
                </c:pt>
                <c:pt idx="104">
                  <c:v>118.63620077204459</c:v>
                </c:pt>
                <c:pt idx="105">
                  <c:v>117.78721229562632</c:v>
                </c:pt>
                <c:pt idx="106">
                  <c:v>116.91987572233433</c:v>
                </c:pt>
                <c:pt idx="107">
                  <c:v>116.03419105216847</c:v>
                </c:pt>
                <c:pt idx="108">
                  <c:v>115.13015828512886</c:v>
                </c:pt>
                <c:pt idx="109">
                  <c:v>114.20777742121544</c:v>
                </c:pt>
                <c:pt idx="110">
                  <c:v>113.26704846042821</c:v>
                </c:pt>
                <c:pt idx="111">
                  <c:v>112.30797140276718</c:v>
                </c:pt>
                <c:pt idx="112">
                  <c:v>111.33054624823231</c:v>
                </c:pt>
                <c:pt idx="113">
                  <c:v>110.33477299682366</c:v>
                </c:pt>
                <c:pt idx="114">
                  <c:v>109.32065164854123</c:v>
                </c:pt>
                <c:pt idx="115">
                  <c:v>108.28818220338499</c:v>
                </c:pt>
                <c:pt idx="116">
                  <c:v>107.23736466135495</c:v>
                </c:pt>
                <c:pt idx="117">
                  <c:v>106.16819902245112</c:v>
                </c:pt>
                <c:pt idx="118">
                  <c:v>105.08068528667346</c:v>
                </c:pt>
                <c:pt idx="119">
                  <c:v>103.97482345402202</c:v>
                </c:pt>
                <c:pt idx="120">
                  <c:v>102.85061352449674</c:v>
                </c:pt>
                <c:pt idx="121">
                  <c:v>101.70805549809774</c:v>
                </c:pt>
                <c:pt idx="122">
                  <c:v>100.54714937482487</c:v>
                </c:pt>
                <c:pt idx="123">
                  <c:v>99.367895154678251</c:v>
                </c:pt>
                <c:pt idx="124">
                  <c:v>98.17029283765774</c:v>
                </c:pt>
                <c:pt idx="125">
                  <c:v>96.954342423763535</c:v>
                </c:pt>
                <c:pt idx="126">
                  <c:v>95.720043912995436</c:v>
                </c:pt>
                <c:pt idx="127">
                  <c:v>94.467397305353586</c:v>
                </c:pt>
                <c:pt idx="128">
                  <c:v>93.196402600837956</c:v>
                </c:pt>
                <c:pt idx="129">
                  <c:v>91.907059799448461</c:v>
                </c:pt>
                <c:pt idx="130">
                  <c:v>90.599368901185215</c:v>
                </c:pt>
                <c:pt idx="131">
                  <c:v>89.273329906048133</c:v>
                </c:pt>
                <c:pt idx="132">
                  <c:v>87.928942814037299</c:v>
                </c:pt>
                <c:pt idx="133">
                  <c:v>86.566207625152629</c:v>
                </c:pt>
                <c:pt idx="134">
                  <c:v>85.185124339394122</c:v>
                </c:pt>
                <c:pt idx="135">
                  <c:v>83.78569295676192</c:v>
                </c:pt>
                <c:pt idx="136">
                  <c:v>82.367913477255797</c:v>
                </c:pt>
                <c:pt idx="137">
                  <c:v>80.93178590087598</c:v>
                </c:pt>
                <c:pt idx="138">
                  <c:v>79.477310227622297</c:v>
                </c:pt>
                <c:pt idx="139">
                  <c:v>78.004486457494806</c:v>
                </c:pt>
                <c:pt idx="140">
                  <c:v>76.513314590493508</c:v>
                </c:pt>
                <c:pt idx="141">
                  <c:v>75.003794626618514</c:v>
                </c:pt>
                <c:pt idx="142">
                  <c:v>73.475926565869599</c:v>
                </c:pt>
                <c:pt idx="143">
                  <c:v>71.929710408246876</c:v>
                </c:pt>
                <c:pt idx="144">
                  <c:v>70.365146153750459</c:v>
                </c:pt>
                <c:pt idx="145">
                  <c:v>68.782233802380119</c:v>
                </c:pt>
                <c:pt idx="146">
                  <c:v>67.180973354136142</c:v>
                </c:pt>
                <c:pt idx="147">
                  <c:v>65.561364809018187</c:v>
                </c:pt>
                <c:pt idx="148">
                  <c:v>63.923408167026537</c:v>
                </c:pt>
                <c:pt idx="149">
                  <c:v>62.267103428161022</c:v>
                </c:pt>
                <c:pt idx="150">
                  <c:v>60.592450592421756</c:v>
                </c:pt>
                <c:pt idx="151">
                  <c:v>58.899449659808624</c:v>
                </c:pt>
                <c:pt idx="152">
                  <c:v>57.188100630321799</c:v>
                </c:pt>
                <c:pt idx="153">
                  <c:v>55.458403503961051</c:v>
                </c:pt>
                <c:pt idx="154">
                  <c:v>53.710358280726552</c:v>
                </c:pt>
                <c:pt idx="155">
                  <c:v>51.943964960618359</c:v>
                </c:pt>
                <c:pt idx="156">
                  <c:v>50.159223543636188</c:v>
                </c:pt>
                <c:pt idx="157">
                  <c:v>48.356134029780378</c:v>
                </c:pt>
                <c:pt idx="158">
                  <c:v>46.534696419050647</c:v>
                </c:pt>
                <c:pt idx="159">
                  <c:v>44.694910711447108</c:v>
                </c:pt>
                <c:pt idx="160">
                  <c:v>42.836776906969817</c:v>
                </c:pt>
                <c:pt idx="161">
                  <c:v>40.960295005618718</c:v>
                </c:pt>
                <c:pt idx="162">
                  <c:v>39.065465007393811</c:v>
                </c:pt>
                <c:pt idx="163">
                  <c:v>37.152286912295153</c:v>
                </c:pt>
                <c:pt idx="164">
                  <c:v>35.220760720322687</c:v>
                </c:pt>
                <c:pt idx="165">
                  <c:v>33.270886431476356</c:v>
                </c:pt>
                <c:pt idx="166">
                  <c:v>31.302664045756217</c:v>
                </c:pt>
                <c:pt idx="167">
                  <c:v>29.316093563162326</c:v>
                </c:pt>
                <c:pt idx="168">
                  <c:v>27.311174983694627</c:v>
                </c:pt>
                <c:pt idx="169">
                  <c:v>25.287908307353121</c:v>
                </c:pt>
                <c:pt idx="170">
                  <c:v>23.246293534137806</c:v>
                </c:pt>
                <c:pt idx="171">
                  <c:v>21.186330664048739</c:v>
                </c:pt>
                <c:pt idx="172">
                  <c:v>19.108019697085751</c:v>
                </c:pt>
                <c:pt idx="173">
                  <c:v>17.011360633249069</c:v>
                </c:pt>
                <c:pt idx="174">
                  <c:v>14.896353472538522</c:v>
                </c:pt>
                <c:pt idx="175">
                  <c:v>12.76299821495428</c:v>
                </c:pt>
                <c:pt idx="176">
                  <c:v>10.611294860496116</c:v>
                </c:pt>
                <c:pt idx="177">
                  <c:v>8.4412434091642581</c:v>
                </c:pt>
                <c:pt idx="178">
                  <c:v>6.2528438609584782</c:v>
                </c:pt>
                <c:pt idx="179">
                  <c:v>4.0460962158789471</c:v>
                </c:pt>
                <c:pt idx="180">
                  <c:v>1.8210004739256078</c:v>
                </c:pt>
                <c:pt idx="181">
                  <c:v>-0.42244336490148271</c:v>
                </c:pt>
                <c:pt idx="182">
                  <c:v>-2.6842353006023814</c:v>
                </c:pt>
                <c:pt idx="183">
                  <c:v>-4.964375333177145</c:v>
                </c:pt>
                <c:pt idx="184">
                  <c:v>-7.2628634626256598</c:v>
                </c:pt>
                <c:pt idx="185">
                  <c:v>-9.5796996889479828</c:v>
                </c:pt>
                <c:pt idx="186">
                  <c:v>-11.914884012144171</c:v>
                </c:pt>
                <c:pt idx="187">
                  <c:v>-14.268416432214053</c:v>
                </c:pt>
                <c:pt idx="188">
                  <c:v>-16.640296949157801</c:v>
                </c:pt>
                <c:pt idx="189">
                  <c:v>-19.030525562975299</c:v>
                </c:pt>
                <c:pt idx="190">
                  <c:v>-21.439102273666606</c:v>
                </c:pt>
                <c:pt idx="191">
                  <c:v>-23.866027081231778</c:v>
                </c:pt>
                <c:pt idx="192">
                  <c:v>-26.311299985670757</c:v>
                </c:pt>
                <c:pt idx="193">
                  <c:v>-28.774920986983432</c:v>
                </c:pt>
                <c:pt idx="194">
                  <c:v>-31.256890085169971</c:v>
                </c:pt>
                <c:pt idx="195">
                  <c:v>-33.757207280230375</c:v>
                </c:pt>
                <c:pt idx="196">
                  <c:v>-36.275872572164531</c:v>
                </c:pt>
                <c:pt idx="197">
                  <c:v>-38.812885960972437</c:v>
                </c:pt>
                <c:pt idx="198">
                  <c:v>-41.368247446654209</c:v>
                </c:pt>
                <c:pt idx="199">
                  <c:v>-43.941957029209732</c:v>
                </c:pt>
                <c:pt idx="200">
                  <c:v>-46.534014708639006</c:v>
                </c:pt>
                <c:pt idx="201">
                  <c:v>-49.144420484942202</c:v>
                </c:pt>
                <c:pt idx="202">
                  <c:v>-51.773174358119093</c:v>
                </c:pt>
                <c:pt idx="203">
                  <c:v>-54.420276328169848</c:v>
                </c:pt>
                <c:pt idx="204">
                  <c:v>-57.085726395094525</c:v>
                </c:pt>
                <c:pt idx="205">
                  <c:v>-59.769524558892783</c:v>
                </c:pt>
                <c:pt idx="206">
                  <c:v>-62.471670819564963</c:v>
                </c:pt>
                <c:pt idx="207">
                  <c:v>-65.192165177110951</c:v>
                </c:pt>
                <c:pt idx="208">
                  <c:v>-67.931007631530747</c:v>
                </c:pt>
                <c:pt idx="209">
                  <c:v>-70.688198182824237</c:v>
                </c:pt>
                <c:pt idx="210">
                  <c:v>-73.46373683099165</c:v>
                </c:pt>
                <c:pt idx="211">
                  <c:v>-76.257623576032756</c:v>
                </c:pt>
                <c:pt idx="212">
                  <c:v>-79.069858417947785</c:v>
                </c:pt>
                <c:pt idx="213">
                  <c:v>-81.900441356736565</c:v>
                </c:pt>
                <c:pt idx="214">
                  <c:v>-84.749372392399039</c:v>
                </c:pt>
                <c:pt idx="215">
                  <c:v>-87.616651524935435</c:v>
                </c:pt>
                <c:pt idx="216">
                  <c:v>-90.502278754345525</c:v>
                </c:pt>
                <c:pt idx="217">
                  <c:v>-93.406254080629594</c:v>
                </c:pt>
                <c:pt idx="218">
                  <c:v>-96.328577503787187</c:v>
                </c:pt>
                <c:pt idx="219">
                  <c:v>-99.269249023818816</c:v>
                </c:pt>
                <c:pt idx="220">
                  <c:v>-102.22826864072425</c:v>
                </c:pt>
                <c:pt idx="221">
                  <c:v>-105.20563635450338</c:v>
                </c:pt>
                <c:pt idx="222">
                  <c:v>-108.20135216515632</c:v>
                </c:pt>
                <c:pt idx="223">
                  <c:v>-111.21541607268307</c:v>
                </c:pt>
                <c:pt idx="224">
                  <c:v>-114.24782807708368</c:v>
                </c:pt>
                <c:pt idx="225">
                  <c:v>-117.29858817835799</c:v>
                </c:pt>
                <c:pt idx="226">
                  <c:v>-120.36769637650633</c:v>
                </c:pt>
                <c:pt idx="227">
                  <c:v>-123.45515267152814</c:v>
                </c:pt>
                <c:pt idx="228">
                  <c:v>-126.5609570634241</c:v>
                </c:pt>
                <c:pt idx="229">
                  <c:v>-129.68510955219352</c:v>
                </c:pt>
                <c:pt idx="230">
                  <c:v>-132.82761013783698</c:v>
                </c:pt>
                <c:pt idx="231">
                  <c:v>-135.98845882035414</c:v>
                </c:pt>
                <c:pt idx="232">
                  <c:v>-139.16765559974522</c:v>
                </c:pt>
                <c:pt idx="233">
                  <c:v>-142.36520047600993</c:v>
                </c:pt>
                <c:pt idx="234">
                  <c:v>-145.58109344914857</c:v>
                </c:pt>
                <c:pt idx="235">
                  <c:v>-148.8153345191609</c:v>
                </c:pt>
                <c:pt idx="236">
                  <c:v>-152.06792368604704</c:v>
                </c:pt>
                <c:pt idx="237">
                  <c:v>-155.33886094980699</c:v>
                </c:pt>
              </c:numCache>
            </c:numRef>
          </c:yVal>
          <c:smooth val="1"/>
        </c:ser>
        <c:axId val="60384384"/>
        <c:axId val="60386304"/>
      </c:scatterChart>
      <c:scatterChart>
        <c:scatterStyle val="lineMarker"/>
        <c:ser>
          <c:idx val="3"/>
          <c:order val="3"/>
          <c:tx>
            <c:v>Metric</c:v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dLbls>
            <c:dLbl>
              <c:idx val="42"/>
              <c:layout>
                <c:manualLayout>
                  <c:xMode val="edge"/>
                  <c:yMode val="edge"/>
                  <c:x val="0.30888955922213374"/>
                  <c:y val="0.50704457821934701"/>
                </c:manualLayout>
              </c:layout>
              <c:tx>
                <c:rich>
                  <a:bodyPr/>
                  <a:lstStyle/>
                  <a:p>
                    <a:pPr>
                      <a:defRPr sz="800" b="0" i="0" u="none" strike="noStrike" baseline="0">
                        <a:solidFill>
                          <a:srgbClr val="000000"/>
                        </a:solidFill>
                        <a:latin typeface="Times New Roman"/>
                        <a:ea typeface="Times New Roman"/>
                        <a:cs typeface="Times New Roman"/>
                      </a:defRPr>
                    </a:pPr>
                    <a:r>
                      <a:t>Dry Density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elete val="1"/>
          </c:dLbls>
          <c:xVal>
            <c:numRef>
              <c:f>'Proctor Report'!$P$3:$P$240</c:f>
              <c:numCache>
                <c:formatCode>0.0\ %</c:formatCode>
                <c:ptCount val="238"/>
                <c:pt idx="0">
                  <c:v>3.3424473330345025E-2</c:v>
                </c:pt>
                <c:pt idx="1">
                  <c:v>3.4424473330345026E-2</c:v>
                </c:pt>
                <c:pt idx="2">
                  <c:v>3.5424473330345027E-2</c:v>
                </c:pt>
                <c:pt idx="3">
                  <c:v>3.6424473330345028E-2</c:v>
                </c:pt>
                <c:pt idx="4">
                  <c:v>3.7424473330345029E-2</c:v>
                </c:pt>
                <c:pt idx="5">
                  <c:v>3.842447333034503E-2</c:v>
                </c:pt>
                <c:pt idx="6">
                  <c:v>3.9424473330345031E-2</c:v>
                </c:pt>
                <c:pt idx="7">
                  <c:v>4.0424473330345032E-2</c:v>
                </c:pt>
                <c:pt idx="8">
                  <c:v>4.1424473330345032E-2</c:v>
                </c:pt>
                <c:pt idx="9">
                  <c:v>4.2424473330345033E-2</c:v>
                </c:pt>
                <c:pt idx="10">
                  <c:v>4.3424473330345034E-2</c:v>
                </c:pt>
                <c:pt idx="11">
                  <c:v>4.4424473330345035E-2</c:v>
                </c:pt>
                <c:pt idx="12">
                  <c:v>4.5424473330345036E-2</c:v>
                </c:pt>
                <c:pt idx="13">
                  <c:v>4.6424473330345037E-2</c:v>
                </c:pt>
                <c:pt idx="14">
                  <c:v>4.7424473330345038E-2</c:v>
                </c:pt>
                <c:pt idx="15">
                  <c:v>4.8424473330345039E-2</c:v>
                </c:pt>
                <c:pt idx="16">
                  <c:v>4.942447333034504E-2</c:v>
                </c:pt>
                <c:pt idx="17">
                  <c:v>5.042447333034504E-2</c:v>
                </c:pt>
                <c:pt idx="18">
                  <c:v>5.1424473330345041E-2</c:v>
                </c:pt>
                <c:pt idx="19">
                  <c:v>5.2424473330345042E-2</c:v>
                </c:pt>
                <c:pt idx="20">
                  <c:v>5.3424473330345043E-2</c:v>
                </c:pt>
                <c:pt idx="21">
                  <c:v>5.4424473330345044E-2</c:v>
                </c:pt>
                <c:pt idx="22">
                  <c:v>5.5424473330345045E-2</c:v>
                </c:pt>
                <c:pt idx="23">
                  <c:v>5.6424473330345046E-2</c:v>
                </c:pt>
                <c:pt idx="24">
                  <c:v>5.7424473330345047E-2</c:v>
                </c:pt>
                <c:pt idx="25">
                  <c:v>5.8424473330345048E-2</c:v>
                </c:pt>
                <c:pt idx="26">
                  <c:v>5.9424473330345048E-2</c:v>
                </c:pt>
                <c:pt idx="27">
                  <c:v>6.0424473330345049E-2</c:v>
                </c:pt>
                <c:pt idx="28">
                  <c:v>6.142447333034505E-2</c:v>
                </c:pt>
                <c:pt idx="29">
                  <c:v>6.2424473330345051E-2</c:v>
                </c:pt>
                <c:pt idx="30">
                  <c:v>6.3424473330345052E-2</c:v>
                </c:pt>
                <c:pt idx="31">
                  <c:v>6.4424473330345053E-2</c:v>
                </c:pt>
                <c:pt idx="32">
                  <c:v>6.5424473330345054E-2</c:v>
                </c:pt>
                <c:pt idx="33">
                  <c:v>6.6424473330345055E-2</c:v>
                </c:pt>
                <c:pt idx="34">
                  <c:v>6.7424473330345056E-2</c:v>
                </c:pt>
                <c:pt idx="35">
                  <c:v>6.8424473330345056E-2</c:v>
                </c:pt>
                <c:pt idx="36">
                  <c:v>6.9424473330345057E-2</c:v>
                </c:pt>
                <c:pt idx="37">
                  <c:v>7.0424473330345058E-2</c:v>
                </c:pt>
                <c:pt idx="38">
                  <c:v>7.1424473330345059E-2</c:v>
                </c:pt>
                <c:pt idx="39">
                  <c:v>7.242447333034506E-2</c:v>
                </c:pt>
                <c:pt idx="40">
                  <c:v>7.3424473330345061E-2</c:v>
                </c:pt>
                <c:pt idx="41">
                  <c:v>7.4424473330345062E-2</c:v>
                </c:pt>
                <c:pt idx="42">
                  <c:v>7.5424473330345063E-2</c:v>
                </c:pt>
                <c:pt idx="43">
                  <c:v>7.6424473330345064E-2</c:v>
                </c:pt>
                <c:pt idx="44">
                  <c:v>7.7424473330345064E-2</c:v>
                </c:pt>
                <c:pt idx="45">
                  <c:v>7.8424473330345065E-2</c:v>
                </c:pt>
                <c:pt idx="46">
                  <c:v>7.9424473330345066E-2</c:v>
                </c:pt>
                <c:pt idx="47">
                  <c:v>8.0424473330345067E-2</c:v>
                </c:pt>
                <c:pt idx="48">
                  <c:v>8.1424473330345068E-2</c:v>
                </c:pt>
                <c:pt idx="49">
                  <c:v>8.2424473330345069E-2</c:v>
                </c:pt>
                <c:pt idx="50">
                  <c:v>8.342447333034507E-2</c:v>
                </c:pt>
                <c:pt idx="51">
                  <c:v>8.4424473330345071E-2</c:v>
                </c:pt>
                <c:pt idx="52">
                  <c:v>8.5424473330345072E-2</c:v>
                </c:pt>
                <c:pt idx="53">
                  <c:v>8.6424473330345072E-2</c:v>
                </c:pt>
                <c:pt idx="54">
                  <c:v>8.7424473330345073E-2</c:v>
                </c:pt>
                <c:pt idx="55">
                  <c:v>8.8424473330345074E-2</c:v>
                </c:pt>
                <c:pt idx="56">
                  <c:v>8.9424473330345075E-2</c:v>
                </c:pt>
                <c:pt idx="57">
                  <c:v>9.0424473330345076E-2</c:v>
                </c:pt>
                <c:pt idx="58">
                  <c:v>9.1424473330345077E-2</c:v>
                </c:pt>
                <c:pt idx="59">
                  <c:v>9.2424473330345078E-2</c:v>
                </c:pt>
                <c:pt idx="60">
                  <c:v>9.3424473330345079E-2</c:v>
                </c:pt>
                <c:pt idx="61">
                  <c:v>9.442447333034508E-2</c:v>
                </c:pt>
                <c:pt idx="62">
                  <c:v>9.542447333034508E-2</c:v>
                </c:pt>
                <c:pt idx="63">
                  <c:v>9.6424473330345081E-2</c:v>
                </c:pt>
                <c:pt idx="64">
                  <c:v>9.7424473330345082E-2</c:v>
                </c:pt>
                <c:pt idx="65">
                  <c:v>9.8424473330345083E-2</c:v>
                </c:pt>
                <c:pt idx="66">
                  <c:v>9.9424473330345084E-2</c:v>
                </c:pt>
                <c:pt idx="67">
                  <c:v>0.10042447333034508</c:v>
                </c:pt>
                <c:pt idx="68">
                  <c:v>0.10142447333034509</c:v>
                </c:pt>
                <c:pt idx="69">
                  <c:v>0.10242447333034509</c:v>
                </c:pt>
                <c:pt idx="70">
                  <c:v>0.10342447333034509</c:v>
                </c:pt>
                <c:pt idx="71">
                  <c:v>0.10442447333034509</c:v>
                </c:pt>
                <c:pt idx="72">
                  <c:v>0.10542447333034509</c:v>
                </c:pt>
                <c:pt idx="73">
                  <c:v>0.10642447333034509</c:v>
                </c:pt>
                <c:pt idx="74">
                  <c:v>0.10742447333034509</c:v>
                </c:pt>
                <c:pt idx="75">
                  <c:v>0.10842447333034509</c:v>
                </c:pt>
                <c:pt idx="76">
                  <c:v>0.10942447333034509</c:v>
                </c:pt>
                <c:pt idx="77">
                  <c:v>0.11042447333034509</c:v>
                </c:pt>
                <c:pt idx="78">
                  <c:v>0.11142447333034509</c:v>
                </c:pt>
                <c:pt idx="79">
                  <c:v>0.1124244733303451</c:v>
                </c:pt>
                <c:pt idx="80">
                  <c:v>0.1134244733303451</c:v>
                </c:pt>
                <c:pt idx="81">
                  <c:v>0.1144244733303451</c:v>
                </c:pt>
                <c:pt idx="82">
                  <c:v>0.1154244733303451</c:v>
                </c:pt>
                <c:pt idx="83">
                  <c:v>0.1164244733303451</c:v>
                </c:pt>
                <c:pt idx="84">
                  <c:v>0.1174244733303451</c:v>
                </c:pt>
                <c:pt idx="85">
                  <c:v>0.1184244733303451</c:v>
                </c:pt>
                <c:pt idx="86">
                  <c:v>0.1194244733303451</c:v>
                </c:pt>
                <c:pt idx="87">
                  <c:v>0.1204244733303451</c:v>
                </c:pt>
                <c:pt idx="88">
                  <c:v>0.1214244733303451</c:v>
                </c:pt>
                <c:pt idx="89">
                  <c:v>0.1224244733303451</c:v>
                </c:pt>
                <c:pt idx="90">
                  <c:v>0.12342447333034511</c:v>
                </c:pt>
                <c:pt idx="91">
                  <c:v>0.12442447333034511</c:v>
                </c:pt>
                <c:pt idx="92">
                  <c:v>0.12542447333034509</c:v>
                </c:pt>
                <c:pt idx="93">
                  <c:v>0.12642447333034509</c:v>
                </c:pt>
                <c:pt idx="94">
                  <c:v>0.12742447333034509</c:v>
                </c:pt>
                <c:pt idx="95">
                  <c:v>0.1284244733303451</c:v>
                </c:pt>
                <c:pt idx="96">
                  <c:v>0.1294244733303451</c:v>
                </c:pt>
                <c:pt idx="97">
                  <c:v>0.1304244733303451</c:v>
                </c:pt>
                <c:pt idx="98">
                  <c:v>0.1314244733303451</c:v>
                </c:pt>
                <c:pt idx="99">
                  <c:v>0.1324244733303451</c:v>
                </c:pt>
                <c:pt idx="100">
                  <c:v>0.1334244733303451</c:v>
                </c:pt>
                <c:pt idx="101">
                  <c:v>0.1344244733303451</c:v>
                </c:pt>
                <c:pt idx="102">
                  <c:v>0.1354244733303451</c:v>
                </c:pt>
                <c:pt idx="103">
                  <c:v>0.1364244733303451</c:v>
                </c:pt>
                <c:pt idx="104">
                  <c:v>0.1374244733303451</c:v>
                </c:pt>
                <c:pt idx="105">
                  <c:v>0.1384244733303451</c:v>
                </c:pt>
                <c:pt idx="106">
                  <c:v>0.13942447333034511</c:v>
                </c:pt>
                <c:pt idx="107">
                  <c:v>0.14042447333034511</c:v>
                </c:pt>
                <c:pt idx="108">
                  <c:v>0.14142447333034511</c:v>
                </c:pt>
                <c:pt idx="109">
                  <c:v>0.14242447333034511</c:v>
                </c:pt>
                <c:pt idx="110">
                  <c:v>0.14342447333034511</c:v>
                </c:pt>
                <c:pt idx="111">
                  <c:v>0.14442447333034511</c:v>
                </c:pt>
                <c:pt idx="112">
                  <c:v>0.14542447333034511</c:v>
                </c:pt>
                <c:pt idx="113">
                  <c:v>0.14642447333034511</c:v>
                </c:pt>
                <c:pt idx="114">
                  <c:v>0.14742447333034511</c:v>
                </c:pt>
                <c:pt idx="115">
                  <c:v>0.14842447333034511</c:v>
                </c:pt>
                <c:pt idx="116">
                  <c:v>0.14942447333034511</c:v>
                </c:pt>
                <c:pt idx="117">
                  <c:v>0.15042447333034512</c:v>
                </c:pt>
                <c:pt idx="118">
                  <c:v>0.15142447333034512</c:v>
                </c:pt>
                <c:pt idx="119">
                  <c:v>0.15242447333034512</c:v>
                </c:pt>
                <c:pt idx="120">
                  <c:v>0.15342447333034512</c:v>
                </c:pt>
                <c:pt idx="121">
                  <c:v>0.15442447333034512</c:v>
                </c:pt>
                <c:pt idx="122">
                  <c:v>0.15542447333034512</c:v>
                </c:pt>
                <c:pt idx="123">
                  <c:v>0.15642447333034512</c:v>
                </c:pt>
                <c:pt idx="124">
                  <c:v>0.15742447333034512</c:v>
                </c:pt>
                <c:pt idx="125">
                  <c:v>0.15842447333034512</c:v>
                </c:pt>
                <c:pt idx="126">
                  <c:v>0.15942447333034512</c:v>
                </c:pt>
                <c:pt idx="127">
                  <c:v>0.16042447333034512</c:v>
                </c:pt>
                <c:pt idx="128">
                  <c:v>0.16142447333034513</c:v>
                </c:pt>
                <c:pt idx="129">
                  <c:v>0.16242447333034513</c:v>
                </c:pt>
                <c:pt idx="130">
                  <c:v>0.16342447333034513</c:v>
                </c:pt>
                <c:pt idx="131">
                  <c:v>0.16442447333034513</c:v>
                </c:pt>
                <c:pt idx="132">
                  <c:v>0.16542447333034513</c:v>
                </c:pt>
                <c:pt idx="133">
                  <c:v>0.16642447333034513</c:v>
                </c:pt>
                <c:pt idx="134">
                  <c:v>0.16742447333034513</c:v>
                </c:pt>
                <c:pt idx="135">
                  <c:v>0.16842447333034513</c:v>
                </c:pt>
                <c:pt idx="136">
                  <c:v>0.16942447333034513</c:v>
                </c:pt>
                <c:pt idx="137">
                  <c:v>0.17042447333034513</c:v>
                </c:pt>
                <c:pt idx="138">
                  <c:v>0.17142447333034513</c:v>
                </c:pt>
                <c:pt idx="139">
                  <c:v>0.17242447333034513</c:v>
                </c:pt>
                <c:pt idx="140">
                  <c:v>0.17342447333034514</c:v>
                </c:pt>
                <c:pt idx="141">
                  <c:v>0.17442447333034514</c:v>
                </c:pt>
                <c:pt idx="142">
                  <c:v>0.17542447333034514</c:v>
                </c:pt>
                <c:pt idx="143">
                  <c:v>0.17642447333034514</c:v>
                </c:pt>
                <c:pt idx="144">
                  <c:v>0.17742447333034514</c:v>
                </c:pt>
                <c:pt idx="145">
                  <c:v>0.17842447333034514</c:v>
                </c:pt>
                <c:pt idx="146">
                  <c:v>0.17942447333034514</c:v>
                </c:pt>
                <c:pt idx="147">
                  <c:v>0.18042447333034514</c:v>
                </c:pt>
                <c:pt idx="148">
                  <c:v>0.18142447333034514</c:v>
                </c:pt>
                <c:pt idx="149">
                  <c:v>0.18242447333034514</c:v>
                </c:pt>
                <c:pt idx="150">
                  <c:v>0.18342447333034514</c:v>
                </c:pt>
                <c:pt idx="151">
                  <c:v>0.18442447333034515</c:v>
                </c:pt>
                <c:pt idx="152">
                  <c:v>0.18542447333034515</c:v>
                </c:pt>
                <c:pt idx="153">
                  <c:v>0.18642447333034515</c:v>
                </c:pt>
                <c:pt idx="154">
                  <c:v>0.18742447333034515</c:v>
                </c:pt>
                <c:pt idx="155">
                  <c:v>0.18842447333034515</c:v>
                </c:pt>
                <c:pt idx="156">
                  <c:v>0.18942447333034515</c:v>
                </c:pt>
                <c:pt idx="157">
                  <c:v>0.19042447333034515</c:v>
                </c:pt>
                <c:pt idx="158">
                  <c:v>0.19142447333034515</c:v>
                </c:pt>
                <c:pt idx="159">
                  <c:v>0.19242447333034515</c:v>
                </c:pt>
                <c:pt idx="160">
                  <c:v>0.19342447333034515</c:v>
                </c:pt>
                <c:pt idx="161">
                  <c:v>0.19442447333034515</c:v>
                </c:pt>
                <c:pt idx="162">
                  <c:v>0.19542447333034516</c:v>
                </c:pt>
                <c:pt idx="163">
                  <c:v>0.19642447333034516</c:v>
                </c:pt>
                <c:pt idx="164">
                  <c:v>0.19742447333034516</c:v>
                </c:pt>
                <c:pt idx="165">
                  <c:v>0.19842447333034516</c:v>
                </c:pt>
                <c:pt idx="166">
                  <c:v>0.19942447333034516</c:v>
                </c:pt>
                <c:pt idx="167">
                  <c:v>0.20042447333034516</c:v>
                </c:pt>
                <c:pt idx="168">
                  <c:v>0.20142447333034516</c:v>
                </c:pt>
                <c:pt idx="169">
                  <c:v>0.20242447333034516</c:v>
                </c:pt>
                <c:pt idx="170">
                  <c:v>0.20342447333034516</c:v>
                </c:pt>
                <c:pt idx="171">
                  <c:v>0.20442447333034516</c:v>
                </c:pt>
                <c:pt idx="172">
                  <c:v>0.20542447333034516</c:v>
                </c:pt>
                <c:pt idx="173">
                  <c:v>0.20642447333034517</c:v>
                </c:pt>
                <c:pt idx="174">
                  <c:v>0.20742447333034517</c:v>
                </c:pt>
                <c:pt idx="175">
                  <c:v>0.20842447333034517</c:v>
                </c:pt>
                <c:pt idx="176">
                  <c:v>0.20942447333034517</c:v>
                </c:pt>
                <c:pt idx="177">
                  <c:v>0.21042447333034517</c:v>
                </c:pt>
                <c:pt idx="178">
                  <c:v>0.21142447333034517</c:v>
                </c:pt>
                <c:pt idx="179">
                  <c:v>0.21242447333034517</c:v>
                </c:pt>
                <c:pt idx="180">
                  <c:v>0.21342447333034517</c:v>
                </c:pt>
                <c:pt idx="181">
                  <c:v>0.21442447333034517</c:v>
                </c:pt>
                <c:pt idx="182">
                  <c:v>0.21542447333034517</c:v>
                </c:pt>
                <c:pt idx="183">
                  <c:v>0.21642447333034517</c:v>
                </c:pt>
                <c:pt idx="184">
                  <c:v>0.21742447333034517</c:v>
                </c:pt>
                <c:pt idx="185">
                  <c:v>0.21842447333034518</c:v>
                </c:pt>
                <c:pt idx="186">
                  <c:v>0.21942447333034518</c:v>
                </c:pt>
                <c:pt idx="187">
                  <c:v>0.22042447333034518</c:v>
                </c:pt>
                <c:pt idx="188">
                  <c:v>0.22142447333034518</c:v>
                </c:pt>
                <c:pt idx="189">
                  <c:v>0.22242447333034518</c:v>
                </c:pt>
                <c:pt idx="190">
                  <c:v>0.22342447333034518</c:v>
                </c:pt>
                <c:pt idx="191">
                  <c:v>0.22442447333034518</c:v>
                </c:pt>
                <c:pt idx="192">
                  <c:v>0.22542447333034518</c:v>
                </c:pt>
                <c:pt idx="193">
                  <c:v>0.22642447333034518</c:v>
                </c:pt>
                <c:pt idx="194">
                  <c:v>0.22742447333034518</c:v>
                </c:pt>
                <c:pt idx="195">
                  <c:v>0.22842447333034518</c:v>
                </c:pt>
                <c:pt idx="196">
                  <c:v>0.22942447333034519</c:v>
                </c:pt>
                <c:pt idx="197">
                  <c:v>0.23042447333034519</c:v>
                </c:pt>
                <c:pt idx="198">
                  <c:v>0.23142447333034519</c:v>
                </c:pt>
                <c:pt idx="199">
                  <c:v>0.23242447333034519</c:v>
                </c:pt>
                <c:pt idx="200">
                  <c:v>0.23342447333034519</c:v>
                </c:pt>
                <c:pt idx="201">
                  <c:v>0.23442447333034519</c:v>
                </c:pt>
                <c:pt idx="202">
                  <c:v>0.23542447333034519</c:v>
                </c:pt>
                <c:pt idx="203">
                  <c:v>0.23642447333034519</c:v>
                </c:pt>
                <c:pt idx="204">
                  <c:v>0.23742447333034519</c:v>
                </c:pt>
                <c:pt idx="205">
                  <c:v>0.23842447333034519</c:v>
                </c:pt>
                <c:pt idx="206">
                  <c:v>0.23942447333034519</c:v>
                </c:pt>
                <c:pt idx="207">
                  <c:v>0.2404244733303452</c:v>
                </c:pt>
                <c:pt idx="208">
                  <c:v>0.2414244733303452</c:v>
                </c:pt>
                <c:pt idx="209">
                  <c:v>0.2424244733303452</c:v>
                </c:pt>
                <c:pt idx="210">
                  <c:v>0.2434244733303452</c:v>
                </c:pt>
                <c:pt idx="211">
                  <c:v>0.2444244733303452</c:v>
                </c:pt>
                <c:pt idx="212">
                  <c:v>0.2454244733303452</c:v>
                </c:pt>
                <c:pt idx="213">
                  <c:v>0.2464244733303452</c:v>
                </c:pt>
                <c:pt idx="214">
                  <c:v>0.2474244733303452</c:v>
                </c:pt>
                <c:pt idx="215">
                  <c:v>0.2484244733303452</c:v>
                </c:pt>
                <c:pt idx="216">
                  <c:v>0.2494244733303452</c:v>
                </c:pt>
                <c:pt idx="217">
                  <c:v>0.25042447333034518</c:v>
                </c:pt>
                <c:pt idx="218">
                  <c:v>0.25142447333034518</c:v>
                </c:pt>
                <c:pt idx="219">
                  <c:v>0.25242447333034518</c:v>
                </c:pt>
                <c:pt idx="220">
                  <c:v>0.25342447333034518</c:v>
                </c:pt>
                <c:pt idx="221">
                  <c:v>0.25442447333034518</c:v>
                </c:pt>
                <c:pt idx="222">
                  <c:v>0.25542447333034518</c:v>
                </c:pt>
                <c:pt idx="223">
                  <c:v>0.25642447333034518</c:v>
                </c:pt>
                <c:pt idx="224">
                  <c:v>0.25742447333034518</c:v>
                </c:pt>
                <c:pt idx="225">
                  <c:v>0.25842447333034518</c:v>
                </c:pt>
                <c:pt idx="226">
                  <c:v>0.25942447333034518</c:v>
                </c:pt>
                <c:pt idx="227">
                  <c:v>0.26042447333034519</c:v>
                </c:pt>
                <c:pt idx="228">
                  <c:v>0.26142447333034519</c:v>
                </c:pt>
                <c:pt idx="229">
                  <c:v>0.26242447333034519</c:v>
                </c:pt>
                <c:pt idx="230">
                  <c:v>0.26342447333034519</c:v>
                </c:pt>
                <c:pt idx="231">
                  <c:v>0.26442447333034519</c:v>
                </c:pt>
                <c:pt idx="232">
                  <c:v>0.26542447333034519</c:v>
                </c:pt>
                <c:pt idx="233">
                  <c:v>0.26642447333034519</c:v>
                </c:pt>
                <c:pt idx="234">
                  <c:v>0.26742447333034519</c:v>
                </c:pt>
                <c:pt idx="235">
                  <c:v>0.26842447333034519</c:v>
                </c:pt>
                <c:pt idx="236">
                  <c:v>0.26942447333034519</c:v>
                </c:pt>
                <c:pt idx="237">
                  <c:v>0.27042447333034519</c:v>
                </c:pt>
              </c:numCache>
            </c:numRef>
          </c:xVal>
          <c:yVal>
            <c:numRef>
              <c:f>'Proctor Report'!$R$3:$R$240</c:f>
              <c:numCache>
                <c:formatCode>0.00</c:formatCode>
                <c:ptCount val="238"/>
                <c:pt idx="0">
                  <c:v>1710.141302085143</c:v>
                </c:pt>
                <c:pt idx="1">
                  <c:v>1727.1099039324256</c:v>
                </c:pt>
                <c:pt idx="2">
                  <c:v>1743.7845692677899</c:v>
                </c:pt>
                <c:pt idx="3">
                  <c:v>1760.1652980912363</c:v>
                </c:pt>
                <c:pt idx="4">
                  <c:v>1776.2520904027638</c:v>
                </c:pt>
                <c:pt idx="5">
                  <c:v>1792.0449462023732</c:v>
                </c:pt>
                <c:pt idx="6">
                  <c:v>1807.5438654900647</c:v>
                </c:pt>
                <c:pt idx="7">
                  <c:v>1822.748848265838</c:v>
                </c:pt>
                <c:pt idx="8">
                  <c:v>1837.6598945296926</c:v>
                </c:pt>
                <c:pt idx="9">
                  <c:v>1852.2770042816287</c:v>
                </c:pt>
                <c:pt idx="10">
                  <c:v>1866.6001775216466</c:v>
                </c:pt>
                <c:pt idx="11">
                  <c:v>1880.6294142497466</c:v>
                </c:pt>
                <c:pt idx="12">
                  <c:v>1894.364714465928</c:v>
                </c:pt>
                <c:pt idx="13">
                  <c:v>1907.8060781701915</c:v>
                </c:pt>
                <c:pt idx="14">
                  <c:v>1920.9535053625359</c:v>
                </c:pt>
                <c:pt idx="15">
                  <c:v>1933.8069960429627</c:v>
                </c:pt>
                <c:pt idx="16">
                  <c:v>1946.3665502114709</c:v>
                </c:pt>
                <c:pt idx="17">
                  <c:v>1958.6321678680608</c:v>
                </c:pt>
                <c:pt idx="18">
                  <c:v>1970.6038490127326</c:v>
                </c:pt>
                <c:pt idx="19">
                  <c:v>1982.2815936454861</c:v>
                </c:pt>
                <c:pt idx="20">
                  <c:v>1993.6654017663211</c:v>
                </c:pt>
                <c:pt idx="21">
                  <c:v>2004.7552733752379</c:v>
                </c:pt>
                <c:pt idx="22">
                  <c:v>2015.5512084722363</c:v>
                </c:pt>
                <c:pt idx="23">
                  <c:v>2026.0532070573167</c:v>
                </c:pt>
                <c:pt idx="24">
                  <c:v>2036.2612691304787</c:v>
                </c:pt>
                <c:pt idx="25">
                  <c:v>2046.1753946917222</c:v>
                </c:pt>
                <c:pt idx="26">
                  <c:v>2055.7955837410477</c:v>
                </c:pt>
                <c:pt idx="27">
                  <c:v>2065.1218362784548</c:v>
                </c:pt>
                <c:pt idx="28">
                  <c:v>2074.1541523039436</c:v>
                </c:pt>
                <c:pt idx="29">
                  <c:v>2082.8925318175138</c:v>
                </c:pt>
                <c:pt idx="30">
                  <c:v>2091.3369748191662</c:v>
                </c:pt>
                <c:pt idx="31">
                  <c:v>2099.4874813088995</c:v>
                </c:pt>
                <c:pt idx="32">
                  <c:v>2107.3440512867155</c:v>
                </c:pt>
                <c:pt idx="33">
                  <c:v>2114.9066847526124</c:v>
                </c:pt>
                <c:pt idx="34">
                  <c:v>2122.1753817065919</c:v>
                </c:pt>
                <c:pt idx="35">
                  <c:v>2129.1501421486519</c:v>
                </c:pt>
                <c:pt idx="36">
                  <c:v>2135.8309660787945</c:v>
                </c:pt>
                <c:pt idx="37">
                  <c:v>2142.2178534970185</c:v>
                </c:pt>
                <c:pt idx="38">
                  <c:v>2148.3108044033247</c:v>
                </c:pt>
                <c:pt idx="39">
                  <c:v>2154.1098187977118</c:v>
                </c:pt>
                <c:pt idx="40">
                  <c:v>2159.6148966801811</c:v>
                </c:pt>
                <c:pt idx="41">
                  <c:v>2164.8260380507322</c:v>
                </c:pt>
                <c:pt idx="42">
                  <c:v>2169.7432429093647</c:v>
                </c:pt>
                <c:pt idx="43">
                  <c:v>2174.3665112560789</c:v>
                </c:pt>
                <c:pt idx="44">
                  <c:v>2178.6958430908749</c:v>
                </c:pt>
                <c:pt idx="45">
                  <c:v>2182.7312384137526</c:v>
                </c:pt>
                <c:pt idx="46">
                  <c:v>2186.4726972247117</c:v>
                </c:pt>
                <c:pt idx="47">
                  <c:v>2189.9202195237535</c:v>
                </c:pt>
                <c:pt idx="48">
                  <c:v>2193.0738053108757</c:v>
                </c:pt>
                <c:pt idx="49">
                  <c:v>2195.9334545860811</c:v>
                </c:pt>
                <c:pt idx="50">
                  <c:v>2198.4991673493664</c:v>
                </c:pt>
                <c:pt idx="51">
                  <c:v>2200.7709436007344</c:v>
                </c:pt>
                <c:pt idx="52">
                  <c:v>2202.7487833401842</c:v>
                </c:pt>
                <c:pt idx="53">
                  <c:v>2204.4326865677158</c:v>
                </c:pt>
                <c:pt idx="54">
                  <c:v>2205.8226532833287</c:v>
                </c:pt>
                <c:pt idx="55">
                  <c:v>2206.9186834870238</c:v>
                </c:pt>
                <c:pt idx="56">
                  <c:v>2207.7207771787998</c:v>
                </c:pt>
                <c:pt idx="57">
                  <c:v>2208.2289343586581</c:v>
                </c:pt>
                <c:pt idx="58">
                  <c:v>2208.4431550265981</c:v>
                </c:pt>
                <c:pt idx="59">
                  <c:v>2208.363439182619</c:v>
                </c:pt>
                <c:pt idx="60">
                  <c:v>2207.9897868267226</c:v>
                </c:pt>
                <c:pt idx="61">
                  <c:v>2207.3221979589075</c:v>
                </c:pt>
                <c:pt idx="62">
                  <c:v>2206.3606725791742</c:v>
                </c:pt>
                <c:pt idx="63">
                  <c:v>2205.1052106875222</c:v>
                </c:pt>
                <c:pt idx="64">
                  <c:v>2203.5558122839534</c:v>
                </c:pt>
                <c:pt idx="65">
                  <c:v>2201.7124773684645</c:v>
                </c:pt>
                <c:pt idx="66">
                  <c:v>2199.5752059410588</c:v>
                </c:pt>
                <c:pt idx="67">
                  <c:v>2197.1439980017331</c:v>
                </c:pt>
                <c:pt idx="68">
                  <c:v>2194.41885355049</c:v>
                </c:pt>
                <c:pt idx="69">
                  <c:v>2191.3997725873287</c:v>
                </c:pt>
                <c:pt idx="70">
                  <c:v>2188.0867551122492</c:v>
                </c:pt>
                <c:pt idx="71">
                  <c:v>2184.4798011252515</c:v>
                </c:pt>
                <c:pt idx="72">
                  <c:v>2180.5789106263351</c:v>
                </c:pt>
                <c:pt idx="73">
                  <c:v>2176.3840836155005</c:v>
                </c:pt>
                <c:pt idx="74">
                  <c:v>2171.8953200927476</c:v>
                </c:pt>
                <c:pt idx="75">
                  <c:v>2167.1126200580766</c:v>
                </c:pt>
                <c:pt idx="76">
                  <c:v>2162.0359835114868</c:v>
                </c:pt>
                <c:pt idx="77">
                  <c:v>2156.6654104529794</c:v>
                </c:pt>
                <c:pt idx="78">
                  <c:v>2151.0009008825532</c:v>
                </c:pt>
                <c:pt idx="79">
                  <c:v>2145.0424548002088</c:v>
                </c:pt>
                <c:pt idx="80">
                  <c:v>2138.7900722059458</c:v>
                </c:pt>
                <c:pt idx="81">
                  <c:v>2132.2437530997649</c:v>
                </c:pt>
                <c:pt idx="82">
                  <c:v>2125.4034974816659</c:v>
                </c:pt>
                <c:pt idx="83">
                  <c:v>2118.2693053516487</c:v>
                </c:pt>
                <c:pt idx="84">
                  <c:v>2110.8411767097123</c:v>
                </c:pt>
                <c:pt idx="85">
                  <c:v>2103.1191115558586</c:v>
                </c:pt>
                <c:pt idx="86">
                  <c:v>2095.1031098900858</c:v>
                </c:pt>
                <c:pt idx="87">
                  <c:v>2086.7931717123952</c:v>
                </c:pt>
                <c:pt idx="88">
                  <c:v>2078.1892970227864</c:v>
                </c:pt>
                <c:pt idx="89">
                  <c:v>2069.2914858212589</c:v>
                </c:pt>
                <c:pt idx="90">
                  <c:v>2060.0997381078137</c:v>
                </c:pt>
                <c:pt idx="91">
                  <c:v>2050.6140538824498</c:v>
                </c:pt>
                <c:pt idx="92">
                  <c:v>2040.8344331451678</c:v>
                </c:pt>
                <c:pt idx="93">
                  <c:v>2030.760875895967</c:v>
                </c:pt>
                <c:pt idx="94">
                  <c:v>2020.3933821348485</c:v>
                </c:pt>
                <c:pt idx="95">
                  <c:v>2009.7319518618108</c:v>
                </c:pt>
                <c:pt idx="96">
                  <c:v>1998.7765850768558</c:v>
                </c:pt>
                <c:pt idx="97">
                  <c:v>1987.5272817799819</c:v>
                </c:pt>
                <c:pt idx="98">
                  <c:v>1975.98404197119</c:v>
                </c:pt>
                <c:pt idx="99">
                  <c:v>1964.1468656504799</c:v>
                </c:pt>
                <c:pt idx="100">
                  <c:v>1952.0157528178511</c:v>
                </c:pt>
                <c:pt idx="101">
                  <c:v>1939.5907034733045</c:v>
                </c:pt>
                <c:pt idx="102">
                  <c:v>1926.8717176168395</c:v>
                </c:pt>
                <c:pt idx="103">
                  <c:v>1913.8587952484556</c:v>
                </c:pt>
                <c:pt idx="104">
                  <c:v>1900.5519363681542</c:v>
                </c:pt>
                <c:pt idx="105">
                  <c:v>1886.9511409759336</c:v>
                </c:pt>
                <c:pt idx="106">
                  <c:v>1873.0564090717958</c:v>
                </c:pt>
                <c:pt idx="107">
                  <c:v>1858.8677406557388</c:v>
                </c:pt>
                <c:pt idx="108">
                  <c:v>1844.3851357277642</c:v>
                </c:pt>
                <c:pt idx="109">
                  <c:v>1829.6085942878713</c:v>
                </c:pt>
                <c:pt idx="110">
                  <c:v>1814.5381163360598</c:v>
                </c:pt>
                <c:pt idx="111">
                  <c:v>1799.1737018723302</c:v>
                </c:pt>
                <c:pt idx="112">
                  <c:v>1783.5153508966816</c:v>
                </c:pt>
                <c:pt idx="113">
                  <c:v>1767.5630634091149</c:v>
                </c:pt>
                <c:pt idx="114">
                  <c:v>1751.3168394096303</c:v>
                </c:pt>
                <c:pt idx="115">
                  <c:v>1734.7766788982276</c:v>
                </c:pt>
                <c:pt idx="116">
                  <c:v>1717.9425818749062</c:v>
                </c:pt>
                <c:pt idx="117">
                  <c:v>1700.814548339667</c:v>
                </c:pt>
                <c:pt idx="118">
                  <c:v>1683.3925782925087</c:v>
                </c:pt>
                <c:pt idx="119">
                  <c:v>1665.6766717334326</c:v>
                </c:pt>
                <c:pt idx="120">
                  <c:v>1647.6668286624376</c:v>
                </c:pt>
                <c:pt idx="121">
                  <c:v>1629.3630490795256</c:v>
                </c:pt>
                <c:pt idx="122">
                  <c:v>1610.7653329846944</c:v>
                </c:pt>
                <c:pt idx="123">
                  <c:v>1591.8736803779454</c:v>
                </c:pt>
                <c:pt idx="124">
                  <c:v>1572.6880912592769</c:v>
                </c:pt>
                <c:pt idx="125">
                  <c:v>1553.2085656286918</c:v>
                </c:pt>
                <c:pt idx="126">
                  <c:v>1533.4351034861868</c:v>
                </c:pt>
                <c:pt idx="127">
                  <c:v>1513.3677048317645</c:v>
                </c:pt>
                <c:pt idx="128">
                  <c:v>1493.006369665424</c:v>
                </c:pt>
                <c:pt idx="129">
                  <c:v>1472.3510979871644</c:v>
                </c:pt>
                <c:pt idx="130">
                  <c:v>1451.401889796987</c:v>
                </c:pt>
                <c:pt idx="131">
                  <c:v>1430.1587450948909</c:v>
                </c:pt>
                <c:pt idx="132">
                  <c:v>1408.6216638808776</c:v>
                </c:pt>
                <c:pt idx="133">
                  <c:v>1386.7906461549451</c:v>
                </c:pt>
                <c:pt idx="134">
                  <c:v>1364.6656919170937</c:v>
                </c:pt>
                <c:pt idx="135">
                  <c:v>1342.2468011673259</c:v>
                </c:pt>
                <c:pt idx="136">
                  <c:v>1319.5339739056378</c:v>
                </c:pt>
                <c:pt idx="137">
                  <c:v>1296.5272101320331</c:v>
                </c:pt>
                <c:pt idx="138">
                  <c:v>1273.2265098465091</c:v>
                </c:pt>
                <c:pt idx="139">
                  <c:v>1249.6318730490668</c:v>
                </c:pt>
                <c:pt idx="140">
                  <c:v>1225.7432997397059</c:v>
                </c:pt>
                <c:pt idx="141">
                  <c:v>1201.5607899184286</c:v>
                </c:pt>
                <c:pt idx="142">
                  <c:v>1177.084343585231</c:v>
                </c:pt>
                <c:pt idx="143">
                  <c:v>1152.3139607401149</c:v>
                </c:pt>
                <c:pt idx="144">
                  <c:v>1127.2496413830822</c:v>
                </c:pt>
                <c:pt idx="145">
                  <c:v>1101.8913855141295</c:v>
                </c:pt>
                <c:pt idx="146">
                  <c:v>1076.2391931332609</c:v>
                </c:pt>
                <c:pt idx="147">
                  <c:v>1050.2930642404713</c:v>
                </c:pt>
                <c:pt idx="148">
                  <c:v>1024.052998835765</c:v>
                </c:pt>
                <c:pt idx="149">
                  <c:v>997.51899691913957</c:v>
                </c:pt>
                <c:pt idx="150">
                  <c:v>970.69105849059645</c:v>
                </c:pt>
                <c:pt idx="151">
                  <c:v>943.56918355013408</c:v>
                </c:pt>
                <c:pt idx="152">
                  <c:v>916.15337209775521</c:v>
                </c:pt>
                <c:pt idx="153">
                  <c:v>888.44362413345607</c:v>
                </c:pt>
                <c:pt idx="154">
                  <c:v>860.43993965723939</c:v>
                </c:pt>
                <c:pt idx="155">
                  <c:v>832.14231866910609</c:v>
                </c:pt>
                <c:pt idx="156">
                  <c:v>803.55076116905173</c:v>
                </c:pt>
                <c:pt idx="157">
                  <c:v>774.66526715708164</c:v>
                </c:pt>
                <c:pt idx="158">
                  <c:v>745.4858366331913</c:v>
                </c:pt>
                <c:pt idx="159">
                  <c:v>716.01246959738262</c:v>
                </c:pt>
                <c:pt idx="160">
                  <c:v>686.2451660496564</c:v>
                </c:pt>
                <c:pt idx="161">
                  <c:v>656.18392599001186</c:v>
                </c:pt>
                <c:pt idx="162">
                  <c:v>625.82874941844887</c:v>
                </c:pt>
                <c:pt idx="163">
                  <c:v>595.17963633496834</c:v>
                </c:pt>
                <c:pt idx="164">
                  <c:v>564.23658673956947</c:v>
                </c:pt>
                <c:pt idx="165">
                  <c:v>532.99960063225126</c:v>
                </c:pt>
                <c:pt idx="166">
                  <c:v>501.4686780130146</c:v>
                </c:pt>
                <c:pt idx="167">
                  <c:v>469.64381888186045</c:v>
                </c:pt>
                <c:pt idx="168">
                  <c:v>437.52502323878792</c:v>
                </c:pt>
                <c:pt idx="169">
                  <c:v>405.112291083797</c:v>
                </c:pt>
                <c:pt idx="170">
                  <c:v>372.40562241688764</c:v>
                </c:pt>
                <c:pt idx="171">
                  <c:v>339.40501723806079</c:v>
                </c:pt>
                <c:pt idx="172">
                  <c:v>306.11047554731374</c:v>
                </c:pt>
                <c:pt idx="173">
                  <c:v>272.52199734465006</c:v>
                </c:pt>
                <c:pt idx="174">
                  <c:v>238.63958263006711</c:v>
                </c:pt>
                <c:pt idx="175">
                  <c:v>204.46323140356756</c:v>
                </c:pt>
                <c:pt idx="176">
                  <c:v>169.99294366514778</c:v>
                </c:pt>
                <c:pt idx="177">
                  <c:v>135.22871941481142</c:v>
                </c:pt>
                <c:pt idx="178">
                  <c:v>100.17055865255482</c:v>
                </c:pt>
                <c:pt idx="179">
                  <c:v>64.818461378380732</c:v>
                </c:pt>
                <c:pt idx="180">
                  <c:v>29.172427592288237</c:v>
                </c:pt>
                <c:pt idx="181">
                  <c:v>-6.7675427057217528</c:v>
                </c:pt>
                <c:pt idx="182">
                  <c:v>-43.001449515650151</c:v>
                </c:pt>
                <c:pt idx="183">
                  <c:v>-79.529292837497863</c:v>
                </c:pt>
                <c:pt idx="184">
                  <c:v>-116.35107267126307</c:v>
                </c:pt>
                <c:pt idx="185">
                  <c:v>-153.46678901694668</c:v>
                </c:pt>
                <c:pt idx="186">
                  <c:v>-190.87644187454961</c:v>
                </c:pt>
                <c:pt idx="187">
                  <c:v>-228.58003124406912</c:v>
                </c:pt>
                <c:pt idx="188">
                  <c:v>-266.57755712550795</c:v>
                </c:pt>
                <c:pt idx="189">
                  <c:v>-304.86901951886426</c:v>
                </c:pt>
                <c:pt idx="190">
                  <c:v>-343.45441842413902</c:v>
                </c:pt>
                <c:pt idx="191">
                  <c:v>-382.33375384133308</c:v>
                </c:pt>
                <c:pt idx="192">
                  <c:v>-421.50702577044552</c:v>
                </c:pt>
                <c:pt idx="193">
                  <c:v>-460.97423421147454</c:v>
                </c:pt>
                <c:pt idx="194">
                  <c:v>-500.73537916442291</c:v>
                </c:pt>
                <c:pt idx="195">
                  <c:v>-540.79046062929058</c:v>
                </c:pt>
                <c:pt idx="196">
                  <c:v>-581.13947860607573</c:v>
                </c:pt>
                <c:pt idx="197">
                  <c:v>-621.78243309477841</c:v>
                </c:pt>
                <c:pt idx="198">
                  <c:v>-662.71932409540045</c:v>
                </c:pt>
                <c:pt idx="199">
                  <c:v>-703.95015160793992</c:v>
                </c:pt>
                <c:pt idx="200">
                  <c:v>-745.47491563239691</c:v>
                </c:pt>
                <c:pt idx="201">
                  <c:v>-787.29361616877407</c:v>
                </c:pt>
                <c:pt idx="202">
                  <c:v>-829.40625321706784</c:v>
                </c:pt>
                <c:pt idx="203">
                  <c:v>-871.81282677728097</c:v>
                </c:pt>
                <c:pt idx="204">
                  <c:v>-914.51333684941426</c:v>
                </c:pt>
                <c:pt idx="205">
                  <c:v>-957.50778343346235</c:v>
                </c:pt>
                <c:pt idx="206">
                  <c:v>-1000.7961665294307</c:v>
                </c:pt>
                <c:pt idx="207">
                  <c:v>-1044.3784861373174</c:v>
                </c:pt>
                <c:pt idx="208">
                  <c:v>-1088.2547422571226</c:v>
                </c:pt>
                <c:pt idx="209">
                  <c:v>-1132.4249348888443</c:v>
                </c:pt>
                <c:pt idx="210">
                  <c:v>-1176.8890640324862</c:v>
                </c:pt>
                <c:pt idx="211">
                  <c:v>-1221.6471296880447</c:v>
                </c:pt>
                <c:pt idx="212">
                  <c:v>-1266.6991318555235</c:v>
                </c:pt>
                <c:pt idx="213">
                  <c:v>-1312.0450705349197</c:v>
                </c:pt>
                <c:pt idx="214">
                  <c:v>-1357.6849457262326</c:v>
                </c:pt>
                <c:pt idx="215">
                  <c:v>-1403.6187574294656</c:v>
                </c:pt>
                <c:pt idx="216">
                  <c:v>-1449.8465056446153</c:v>
                </c:pt>
                <c:pt idx="217">
                  <c:v>-1496.3681903716861</c:v>
                </c:pt>
                <c:pt idx="218">
                  <c:v>-1543.1838116106708</c:v>
                </c:pt>
                <c:pt idx="219">
                  <c:v>-1590.2933693615773</c:v>
                </c:pt>
                <c:pt idx="220">
                  <c:v>-1637.6968636244026</c:v>
                </c:pt>
                <c:pt idx="221">
                  <c:v>-1685.3942943991442</c:v>
                </c:pt>
                <c:pt idx="222">
                  <c:v>-1733.3856616858043</c:v>
                </c:pt>
                <c:pt idx="223">
                  <c:v>-1781.6709654843828</c:v>
                </c:pt>
                <c:pt idx="224">
                  <c:v>-1830.2502057948805</c:v>
                </c:pt>
                <c:pt idx="225">
                  <c:v>-1879.123382617295</c:v>
                </c:pt>
                <c:pt idx="226">
                  <c:v>-1928.2904959516313</c:v>
                </c:pt>
                <c:pt idx="227">
                  <c:v>-1977.7515457978807</c:v>
                </c:pt>
                <c:pt idx="228">
                  <c:v>-2027.5065321560539</c:v>
                </c:pt>
                <c:pt idx="229">
                  <c:v>-2077.5554550261404</c:v>
                </c:pt>
                <c:pt idx="230">
                  <c:v>-2127.8983144081485</c:v>
                </c:pt>
                <c:pt idx="231">
                  <c:v>-2178.5351103020735</c:v>
                </c:pt>
                <c:pt idx="232">
                  <c:v>-2229.4658427079185</c:v>
                </c:pt>
                <c:pt idx="233">
                  <c:v>-2280.6905116256789</c:v>
                </c:pt>
                <c:pt idx="234">
                  <c:v>-2332.2091170553599</c:v>
                </c:pt>
                <c:pt idx="235">
                  <c:v>-2384.0216589969577</c:v>
                </c:pt>
                <c:pt idx="236">
                  <c:v>-2436.1281374504733</c:v>
                </c:pt>
                <c:pt idx="237">
                  <c:v>-2488.5285524159081</c:v>
                </c:pt>
              </c:numCache>
            </c:numRef>
          </c:yVal>
          <c:smooth val="1"/>
        </c:ser>
        <c:axId val="60392576"/>
        <c:axId val="60394112"/>
      </c:scatterChart>
      <c:valAx>
        <c:axId val="60384384"/>
        <c:scaling>
          <c:orientation val="minMax"/>
          <c:max val="0.12"/>
          <c:min val="0.06"/>
        </c:scaling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t>Percent Moisture</a:t>
                </a:r>
              </a:p>
            </c:rich>
          </c:tx>
          <c:layout>
            <c:manualLayout>
              <c:xMode val="edge"/>
              <c:yMode val="edge"/>
              <c:x val="0.36888968943074962"/>
              <c:y val="0.82160001100357161"/>
            </c:manualLayout>
          </c:layout>
          <c:spPr>
            <a:noFill/>
            <a:ln w="25400">
              <a:noFill/>
            </a:ln>
          </c:spPr>
        </c:title>
        <c:numFmt formatCode="0%" sourceLinked="0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60386304"/>
        <c:crosses val="autoZero"/>
        <c:crossBetween val="midCat"/>
        <c:majorUnit val="0.01"/>
        <c:minorUnit val="2E-3"/>
      </c:valAx>
      <c:valAx>
        <c:axId val="60386304"/>
        <c:scaling>
          <c:orientation val="minMax"/>
          <c:max val="144"/>
          <c:min val="13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 sz="800" b="1" i="0" strike="noStrike">
                    <a:solidFill>
                      <a:srgbClr val="000000"/>
                    </a:solidFill>
                    <a:latin typeface="Times New Roman"/>
                    <a:cs typeface="Times New Roman"/>
                  </a:rPr>
                  <a:t>Dry Density, lbs/ft</a:t>
                </a:r>
                <a:r>
                  <a:rPr lang="en-US" sz="800" b="1" i="0" strike="noStrike" baseline="30000">
                    <a:solidFill>
                      <a:srgbClr val="000000"/>
                    </a:solidFill>
                    <a:latin typeface="Times New Roman"/>
                    <a:cs typeface="Times New Roman"/>
                  </a:rPr>
                  <a:t>3</a:t>
                </a:r>
                <a:r>
                  <a:rPr lang="en-US" sz="800" b="1" i="0" strike="noStrike">
                    <a:solidFill>
                      <a:srgbClr val="000000"/>
                    </a:solidFill>
                    <a:latin typeface="Times New Roman"/>
                    <a:cs typeface="Times New Roman"/>
                  </a:rPr>
                  <a:t> </a:t>
                </a:r>
              </a:p>
            </c:rich>
          </c:tx>
          <c:layout>
            <c:manualLayout>
              <c:xMode val="edge"/>
              <c:yMode val="edge"/>
              <c:x val="1.1111135223817761E-2"/>
              <c:y val="0.24413257469820412"/>
            </c:manualLayout>
          </c:layout>
          <c:spPr>
            <a:noFill/>
            <a:ln w="25400">
              <a:noFill/>
            </a:ln>
          </c:spPr>
        </c:title>
        <c:numFmt formatCode="0.0" sourceLinked="1"/>
        <c:majorTickMark val="cross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60384384"/>
        <c:crosses val="autoZero"/>
        <c:crossBetween val="midCat"/>
        <c:majorUnit val="2"/>
        <c:minorUnit val="0.5"/>
      </c:valAx>
      <c:valAx>
        <c:axId val="60392576"/>
        <c:scaling>
          <c:orientation val="minMax"/>
        </c:scaling>
        <c:delete val="1"/>
        <c:axPos val="b"/>
        <c:numFmt formatCode="0.0\ %" sourceLinked="1"/>
        <c:tickLblPos val="nextTo"/>
        <c:crossAx val="60394112"/>
        <c:crosses val="autoZero"/>
        <c:crossBetween val="midCat"/>
      </c:valAx>
      <c:valAx>
        <c:axId val="60394112"/>
        <c:scaling>
          <c:orientation val="minMax"/>
          <c:max val="2306.88"/>
          <c:min val="2082.6"/>
        </c:scaling>
        <c:axPos val="r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n-US" sz="800" b="1" i="0" strike="noStrike">
                  <a:solidFill>
                    <a:srgbClr val="000000"/>
                  </a:solidFill>
                  <a:latin typeface="Times New Roman"/>
                  <a:cs typeface="Times New Roman"/>
                </a:endParaRPr>
              </a:p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 sz="800" b="1" i="0" strike="noStrike">
                    <a:solidFill>
                      <a:srgbClr val="000000"/>
                    </a:solidFill>
                    <a:latin typeface="Times New Roman"/>
                    <a:cs typeface="Times New Roman"/>
                  </a:rPr>
                  <a:t>Density,  Kgs/m</a:t>
                </a:r>
                <a:r>
                  <a:rPr lang="en-US" sz="800" b="1" i="0" strike="noStrike" baseline="30000">
                    <a:solidFill>
                      <a:srgbClr val="000000"/>
                    </a:solidFill>
                    <a:latin typeface="Times New Roman"/>
                    <a:cs typeface="Times New Roman"/>
                  </a:rPr>
                  <a:t>3</a:t>
                </a:r>
                <a:r>
                  <a:rPr lang="en-US" sz="800" b="1" i="0" strike="noStrike">
                    <a:solidFill>
                      <a:srgbClr val="000000"/>
                    </a:solidFill>
                    <a:latin typeface="Times New Roman"/>
                    <a:cs typeface="Times New Roman"/>
                  </a:rPr>
                  <a:t>  </a:t>
                </a:r>
              </a:p>
            </c:rich>
          </c:tx>
          <c:layout>
            <c:manualLayout>
              <c:xMode val="edge"/>
              <c:yMode val="edge"/>
              <c:x val="0.90666863426352917"/>
              <c:y val="0.27699657513834697"/>
            </c:manualLayout>
          </c:layout>
          <c:spPr>
            <a:noFill/>
            <a:ln w="25400">
              <a:noFill/>
            </a:ln>
          </c:spPr>
        </c:title>
        <c:numFmt formatCode="#,##0" sourceLinked="0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60392576"/>
        <c:crosses val="max"/>
        <c:crossBetween val="midCat"/>
      </c:valAx>
      <c:spPr>
        <a:noFill/>
        <a:ln w="25400">
          <a:noFill/>
        </a:ln>
      </c:spPr>
    </c:plotArea>
    <c:legend>
      <c:legendPos val="r"/>
      <c:legendEntry>
        <c:idx val="3"/>
        <c:delete val="1"/>
      </c:legendEntry>
      <c:layout>
        <c:manualLayout>
          <c:xMode val="edge"/>
          <c:yMode val="edge"/>
          <c:x val="6.0000130208615901E-2"/>
          <c:y val="0.90141258350106135"/>
          <c:w val="0.93111313175592825"/>
          <c:h val="8.4507429703224501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Times New Roman"/>
              <a:ea typeface="Times New Roman"/>
              <a:cs typeface="Times New Roman"/>
            </a:defRPr>
          </a:pPr>
          <a:endParaRPr lang="en-US"/>
        </a:p>
      </c:txPr>
    </c:legend>
    <c:dispBlanksAs val="gap"/>
  </c:chart>
  <c:spPr>
    <a:solidFill>
      <a:srgbClr val="FFFFFF"/>
    </a:solidFill>
    <a:ln w="3175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300" verticalDpi="30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1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r>
              <a:t>Liquid Limit</a:t>
            </a:r>
          </a:p>
        </c:rich>
      </c:tx>
      <c:layout>
        <c:manualLayout>
          <c:xMode val="edge"/>
          <c:yMode val="edge"/>
          <c:x val="0.30769303000354475"/>
          <c:y val="3.252041126887297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6923140125310163"/>
          <c:y val="0.13008164507549191"/>
          <c:w val="0.64903998516372718"/>
          <c:h val="0.7696497333633272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12700">
                <a:solidFill>
                  <a:srgbClr val="000080"/>
                </a:solidFill>
                <a:prstDash val="solid"/>
              </a:ln>
            </c:spPr>
            <c:trendlineType val="linear"/>
          </c:trendline>
          <c:xVal>
            <c:numRef>
              <c:f>'Atterberg Limits'!$C$16:$H$16</c:f>
              <c:numCache>
                <c:formatCode>General</c:formatCode>
                <c:ptCount val="6"/>
                <c:pt idx="0">
                  <c:v>17</c:v>
                </c:pt>
                <c:pt idx="1">
                  <c:v>32</c:v>
                </c:pt>
                <c:pt idx="2">
                  <c:v>48</c:v>
                </c:pt>
              </c:numCache>
            </c:numRef>
          </c:xVal>
          <c:yVal>
            <c:numRef>
              <c:f>'Atterberg Limits'!$C$15:$H$15</c:f>
              <c:numCache>
                <c:formatCode>0.0\ %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yVal>
        </c:ser>
        <c:axId val="50057984"/>
        <c:axId val="50059904"/>
      </c:scatterChart>
      <c:valAx>
        <c:axId val="50057984"/>
        <c:scaling>
          <c:logBase val="10"/>
          <c:orientation val="minMax"/>
          <c:max val="100"/>
          <c:min val="10"/>
        </c:scaling>
        <c:axPos val="b"/>
        <c:minorGridlines>
          <c:spPr>
            <a:ln w="3175">
              <a:solidFill>
                <a:srgbClr val="C0C0C0"/>
              </a:solidFill>
              <a:prstDash val="sysDash"/>
            </a:ln>
          </c:spPr>
        </c:min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Number of Blows, "N"</a:t>
                </a:r>
              </a:p>
            </c:rich>
          </c:tx>
          <c:layout>
            <c:manualLayout>
              <c:xMode val="edge"/>
              <c:yMode val="edge"/>
              <c:x val="0.29807762281593397"/>
              <c:y val="0.9322517897076920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50059904"/>
        <c:crosses val="autoZero"/>
        <c:crossBetween val="midCat"/>
      </c:valAx>
      <c:valAx>
        <c:axId val="50059904"/>
        <c:scaling>
          <c:orientation val="minMax"/>
          <c:min val="0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% Moisture</a:t>
                </a:r>
              </a:p>
            </c:rich>
          </c:tx>
          <c:layout>
            <c:manualLayout>
              <c:xMode val="edge"/>
              <c:yMode val="edge"/>
              <c:x val="2.4038517969026934E-2"/>
              <c:y val="0.44173558640219129"/>
            </c:manualLayout>
          </c:layout>
          <c:spPr>
            <a:noFill/>
            <a:ln w="25400">
              <a:noFill/>
            </a:ln>
          </c:spPr>
        </c:title>
        <c:numFmt formatCode="0%" sourceLinked="0"/>
        <c:majorTickMark val="cross"/>
        <c:minorTickMark val="in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50057984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 i="0" u="none" strike="noStrike" baseline="0">
          <a:solidFill>
            <a:srgbClr val="000000"/>
          </a:solidFill>
          <a:latin typeface="Futura"/>
          <a:ea typeface="Futura"/>
          <a:cs typeface="Futura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300" verticalDpi="300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1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Peignot Medium"/>
                <a:ea typeface="Peignot Medium"/>
                <a:cs typeface="Peignot Medium"/>
              </a:defRPr>
            </a:pPr>
            <a:r>
              <a:t>Plasticity Chart</a:t>
            </a:r>
          </a:p>
        </c:rich>
      </c:tx>
      <c:layout>
        <c:manualLayout>
          <c:xMode val="edge"/>
          <c:yMode val="edge"/>
          <c:x val="0.40971168437025796"/>
          <c:y val="3.037383177570093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925644916540213"/>
          <c:y val="9.11214953271028E-2"/>
          <c:w val="0.84673748103186641"/>
          <c:h val="0.78738317757009346"/>
        </c:manualLayout>
      </c:layout>
      <c:scatterChart>
        <c:scatterStyle val="lineMarker"/>
        <c:ser>
          <c:idx val="2"/>
          <c:order val="0"/>
          <c:tx>
            <c:v>Data</c:v>
          </c:tx>
          <c:spPr>
            <a:ln w="28575">
              <a:noFill/>
            </a:ln>
          </c:spPr>
          <c:marker>
            <c:symbol val="circle"/>
            <c:size val="8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xVal>
            <c:strRef>
              <c:f>'Atterberg Limits'!$D$19</c:f>
              <c:strCache>
                <c:ptCount val="1"/>
                <c:pt idx="0">
                  <c:v>N/A</c:v>
                </c:pt>
              </c:strCache>
            </c:strRef>
          </c:xVal>
          <c:yVal>
            <c:numRef>
              <c:f>'Atterberg Limits'!$D$21</c:f>
              <c:numCache>
                <c:formatCode>0.0\ %</c:formatCode>
                <c:ptCount val="1"/>
                <c:pt idx="0">
                  <c:v>0</c:v>
                </c:pt>
              </c:numCache>
            </c:numRef>
          </c:yVal>
        </c:ser>
        <c:ser>
          <c:idx val="1"/>
          <c:order val="1"/>
          <c:tx>
            <c:v>A line</c:v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dLbls>
            <c:dLbl>
              <c:idx val="127"/>
              <c:layout>
                <c:manualLayout>
                  <c:xMode val="edge"/>
                  <c:yMode val="edge"/>
                  <c:x val="0.64491654021244305"/>
                  <c:y val="0.62149532710280375"/>
                </c:manualLayout>
              </c:layout>
              <c:tx>
                <c:rich>
                  <a:bodyPr/>
                  <a:lstStyle/>
                  <a:p>
                    <a:pPr>
                      <a:defRPr sz="800" b="0" i="0" u="none" strike="noStrike" baseline="0">
                        <a:solidFill>
                          <a:srgbClr val="000000"/>
                        </a:solidFill>
                        <a:latin typeface="Futura"/>
                        <a:ea typeface="Futura"/>
                        <a:cs typeface="Futura"/>
                      </a:defRPr>
                    </a:pPr>
                    <a:r>
                      <a:t>MH or OH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Lbl>
              <c:idx val="172"/>
              <c:layout>
                <c:manualLayout>
                  <c:xMode val="edge"/>
                  <c:yMode val="edge"/>
                  <c:x val="0.78755690440060699"/>
                  <c:y val="0.31775700934579437"/>
                </c:manualLayout>
              </c:layout>
              <c:tx>
                <c:rich>
                  <a:bodyPr/>
                  <a:lstStyle/>
                  <a:p>
                    <a:pPr>
                      <a:defRPr sz="900" b="0" i="0" u="none" strike="noStrike" baseline="0">
                        <a:solidFill>
                          <a:srgbClr val="000000"/>
                        </a:solidFill>
                        <a:latin typeface="Futura"/>
                        <a:ea typeface="Futura"/>
                        <a:cs typeface="Futura"/>
                      </a:defRPr>
                    </a:pPr>
                    <a:r>
                      <a:t>"A" Line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elete val="1"/>
          </c:dLbls>
          <c:xVal>
            <c:numRef>
              <c:f>'Atterberg Limits'!$M$7:$M$227</c:f>
              <c:numCache>
                <c:formatCode>0.0\ %</c:formatCode>
                <c:ptCount val="22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  <c:pt idx="51">
                  <c:v>0.25500000000000012</c:v>
                </c:pt>
                <c:pt idx="52">
                  <c:v>0.26000000000000012</c:v>
                </c:pt>
                <c:pt idx="53">
                  <c:v>0.26500000000000012</c:v>
                </c:pt>
                <c:pt idx="54">
                  <c:v>0.27000000000000013</c:v>
                </c:pt>
                <c:pt idx="55">
                  <c:v>0.27500000000000013</c:v>
                </c:pt>
                <c:pt idx="56">
                  <c:v>0.28000000000000014</c:v>
                </c:pt>
                <c:pt idx="57">
                  <c:v>0.28500000000000014</c:v>
                </c:pt>
                <c:pt idx="58">
                  <c:v>0.29000000000000015</c:v>
                </c:pt>
                <c:pt idx="59">
                  <c:v>0.29500000000000015</c:v>
                </c:pt>
                <c:pt idx="60">
                  <c:v>0.30000000000000016</c:v>
                </c:pt>
                <c:pt idx="61">
                  <c:v>0.30500000000000016</c:v>
                </c:pt>
                <c:pt idx="62">
                  <c:v>0.31000000000000016</c:v>
                </c:pt>
                <c:pt idx="63">
                  <c:v>0.31500000000000017</c:v>
                </c:pt>
                <c:pt idx="64">
                  <c:v>0.32000000000000017</c:v>
                </c:pt>
                <c:pt idx="65">
                  <c:v>0.32500000000000018</c:v>
                </c:pt>
                <c:pt idx="66">
                  <c:v>0.33000000000000018</c:v>
                </c:pt>
                <c:pt idx="67">
                  <c:v>0.33500000000000019</c:v>
                </c:pt>
                <c:pt idx="68">
                  <c:v>0.34000000000000019</c:v>
                </c:pt>
                <c:pt idx="69">
                  <c:v>0.3450000000000002</c:v>
                </c:pt>
                <c:pt idx="70">
                  <c:v>0.3500000000000002</c:v>
                </c:pt>
                <c:pt idx="71">
                  <c:v>0.3550000000000002</c:v>
                </c:pt>
                <c:pt idx="72">
                  <c:v>0.36000000000000021</c:v>
                </c:pt>
                <c:pt idx="73">
                  <c:v>0.36500000000000021</c:v>
                </c:pt>
                <c:pt idx="74">
                  <c:v>0.37000000000000022</c:v>
                </c:pt>
                <c:pt idx="75">
                  <c:v>0.37500000000000022</c:v>
                </c:pt>
                <c:pt idx="76">
                  <c:v>0.38000000000000023</c:v>
                </c:pt>
                <c:pt idx="77">
                  <c:v>0.38500000000000023</c:v>
                </c:pt>
                <c:pt idx="78">
                  <c:v>0.39000000000000024</c:v>
                </c:pt>
                <c:pt idx="79">
                  <c:v>0.39500000000000024</c:v>
                </c:pt>
                <c:pt idx="80">
                  <c:v>0.40000000000000024</c:v>
                </c:pt>
                <c:pt idx="81">
                  <c:v>0.40500000000000025</c:v>
                </c:pt>
                <c:pt idx="82">
                  <c:v>0.41000000000000025</c:v>
                </c:pt>
                <c:pt idx="83">
                  <c:v>0.41500000000000026</c:v>
                </c:pt>
                <c:pt idx="84">
                  <c:v>0.42000000000000026</c:v>
                </c:pt>
                <c:pt idx="85">
                  <c:v>0.42500000000000027</c:v>
                </c:pt>
                <c:pt idx="86">
                  <c:v>0.43000000000000027</c:v>
                </c:pt>
                <c:pt idx="87">
                  <c:v>0.43500000000000028</c:v>
                </c:pt>
                <c:pt idx="88">
                  <c:v>0.44000000000000028</c:v>
                </c:pt>
                <c:pt idx="89">
                  <c:v>0.44500000000000028</c:v>
                </c:pt>
                <c:pt idx="90">
                  <c:v>0.45000000000000029</c:v>
                </c:pt>
                <c:pt idx="91">
                  <c:v>0.45500000000000029</c:v>
                </c:pt>
                <c:pt idx="92">
                  <c:v>0.4600000000000003</c:v>
                </c:pt>
                <c:pt idx="93">
                  <c:v>0.4650000000000003</c:v>
                </c:pt>
                <c:pt idx="94">
                  <c:v>0.47000000000000031</c:v>
                </c:pt>
                <c:pt idx="95">
                  <c:v>0.47500000000000031</c:v>
                </c:pt>
                <c:pt idx="96">
                  <c:v>0.48000000000000032</c:v>
                </c:pt>
                <c:pt idx="97">
                  <c:v>0.48500000000000032</c:v>
                </c:pt>
                <c:pt idx="98">
                  <c:v>0.49000000000000032</c:v>
                </c:pt>
                <c:pt idx="99">
                  <c:v>0.49500000000000033</c:v>
                </c:pt>
                <c:pt idx="100">
                  <c:v>0.50000000000000033</c:v>
                </c:pt>
                <c:pt idx="101">
                  <c:v>0.50500000000000034</c:v>
                </c:pt>
                <c:pt idx="102">
                  <c:v>0.51000000000000034</c:v>
                </c:pt>
                <c:pt idx="103">
                  <c:v>0.51500000000000035</c:v>
                </c:pt>
                <c:pt idx="104">
                  <c:v>0.52000000000000035</c:v>
                </c:pt>
                <c:pt idx="105">
                  <c:v>0.52500000000000036</c:v>
                </c:pt>
                <c:pt idx="106">
                  <c:v>0.53000000000000036</c:v>
                </c:pt>
                <c:pt idx="107">
                  <c:v>0.53500000000000036</c:v>
                </c:pt>
                <c:pt idx="108">
                  <c:v>0.54000000000000037</c:v>
                </c:pt>
                <c:pt idx="109">
                  <c:v>0.54500000000000037</c:v>
                </c:pt>
                <c:pt idx="110">
                  <c:v>0.55000000000000038</c:v>
                </c:pt>
                <c:pt idx="111">
                  <c:v>0.55500000000000038</c:v>
                </c:pt>
                <c:pt idx="112">
                  <c:v>0.56000000000000039</c:v>
                </c:pt>
                <c:pt idx="113">
                  <c:v>0.56500000000000039</c:v>
                </c:pt>
                <c:pt idx="114">
                  <c:v>0.5700000000000004</c:v>
                </c:pt>
                <c:pt idx="115">
                  <c:v>0.5750000000000004</c:v>
                </c:pt>
                <c:pt idx="116">
                  <c:v>0.5800000000000004</c:v>
                </c:pt>
                <c:pt idx="117">
                  <c:v>0.58500000000000041</c:v>
                </c:pt>
                <c:pt idx="118">
                  <c:v>0.59000000000000041</c:v>
                </c:pt>
                <c:pt idx="119">
                  <c:v>0.59500000000000042</c:v>
                </c:pt>
                <c:pt idx="120">
                  <c:v>0.60000000000000042</c:v>
                </c:pt>
                <c:pt idx="121">
                  <c:v>0.60500000000000043</c:v>
                </c:pt>
                <c:pt idx="122">
                  <c:v>0.61000000000000043</c:v>
                </c:pt>
                <c:pt idx="123">
                  <c:v>0.61500000000000044</c:v>
                </c:pt>
                <c:pt idx="124">
                  <c:v>0.62000000000000044</c:v>
                </c:pt>
                <c:pt idx="125">
                  <c:v>0.62500000000000044</c:v>
                </c:pt>
                <c:pt idx="126">
                  <c:v>0.63000000000000045</c:v>
                </c:pt>
                <c:pt idx="127">
                  <c:v>0.63500000000000045</c:v>
                </c:pt>
                <c:pt idx="128">
                  <c:v>0.64000000000000046</c:v>
                </c:pt>
                <c:pt idx="129">
                  <c:v>0.64500000000000046</c:v>
                </c:pt>
                <c:pt idx="130">
                  <c:v>0.65000000000000047</c:v>
                </c:pt>
                <c:pt idx="131">
                  <c:v>0.65500000000000047</c:v>
                </c:pt>
                <c:pt idx="132">
                  <c:v>0.66000000000000048</c:v>
                </c:pt>
                <c:pt idx="133">
                  <c:v>0.66500000000000048</c:v>
                </c:pt>
                <c:pt idx="134">
                  <c:v>0.67000000000000048</c:v>
                </c:pt>
                <c:pt idx="135">
                  <c:v>0.67500000000000049</c:v>
                </c:pt>
                <c:pt idx="136">
                  <c:v>0.68000000000000049</c:v>
                </c:pt>
                <c:pt idx="137">
                  <c:v>0.6850000000000005</c:v>
                </c:pt>
                <c:pt idx="138">
                  <c:v>0.6900000000000005</c:v>
                </c:pt>
                <c:pt idx="139">
                  <c:v>0.69500000000000051</c:v>
                </c:pt>
                <c:pt idx="140">
                  <c:v>0.70000000000000051</c:v>
                </c:pt>
                <c:pt idx="141">
                  <c:v>0.70500000000000052</c:v>
                </c:pt>
                <c:pt idx="142">
                  <c:v>0.71000000000000052</c:v>
                </c:pt>
                <c:pt idx="143">
                  <c:v>0.71500000000000052</c:v>
                </c:pt>
                <c:pt idx="144">
                  <c:v>0.72000000000000053</c:v>
                </c:pt>
                <c:pt idx="145">
                  <c:v>0.72500000000000053</c:v>
                </c:pt>
                <c:pt idx="146">
                  <c:v>0.73000000000000054</c:v>
                </c:pt>
                <c:pt idx="147">
                  <c:v>0.73500000000000054</c:v>
                </c:pt>
                <c:pt idx="148">
                  <c:v>0.74000000000000055</c:v>
                </c:pt>
                <c:pt idx="149">
                  <c:v>0.74500000000000055</c:v>
                </c:pt>
                <c:pt idx="150">
                  <c:v>0.75000000000000056</c:v>
                </c:pt>
                <c:pt idx="151">
                  <c:v>0.75500000000000056</c:v>
                </c:pt>
                <c:pt idx="152">
                  <c:v>0.76000000000000056</c:v>
                </c:pt>
                <c:pt idx="153">
                  <c:v>0.76500000000000057</c:v>
                </c:pt>
                <c:pt idx="154">
                  <c:v>0.77000000000000057</c:v>
                </c:pt>
                <c:pt idx="155">
                  <c:v>0.77500000000000058</c:v>
                </c:pt>
                <c:pt idx="156">
                  <c:v>0.78000000000000058</c:v>
                </c:pt>
                <c:pt idx="157">
                  <c:v>0.78500000000000059</c:v>
                </c:pt>
                <c:pt idx="158">
                  <c:v>0.79000000000000059</c:v>
                </c:pt>
                <c:pt idx="159">
                  <c:v>0.7950000000000006</c:v>
                </c:pt>
                <c:pt idx="160">
                  <c:v>0.8000000000000006</c:v>
                </c:pt>
                <c:pt idx="161">
                  <c:v>0.8050000000000006</c:v>
                </c:pt>
                <c:pt idx="162">
                  <c:v>0.81000000000000061</c:v>
                </c:pt>
                <c:pt idx="163">
                  <c:v>0.81500000000000061</c:v>
                </c:pt>
                <c:pt idx="164">
                  <c:v>0.82000000000000062</c:v>
                </c:pt>
                <c:pt idx="165">
                  <c:v>0.82500000000000062</c:v>
                </c:pt>
                <c:pt idx="166">
                  <c:v>0.83000000000000063</c:v>
                </c:pt>
                <c:pt idx="167">
                  <c:v>0.83500000000000063</c:v>
                </c:pt>
                <c:pt idx="168">
                  <c:v>0.84000000000000064</c:v>
                </c:pt>
                <c:pt idx="169">
                  <c:v>0.84500000000000064</c:v>
                </c:pt>
                <c:pt idx="170">
                  <c:v>0.85000000000000064</c:v>
                </c:pt>
                <c:pt idx="171">
                  <c:v>0.85500000000000065</c:v>
                </c:pt>
                <c:pt idx="172">
                  <c:v>0.86000000000000065</c:v>
                </c:pt>
                <c:pt idx="173">
                  <c:v>0.86500000000000066</c:v>
                </c:pt>
                <c:pt idx="174">
                  <c:v>0.87000000000000066</c:v>
                </c:pt>
                <c:pt idx="175">
                  <c:v>0.87500000000000067</c:v>
                </c:pt>
                <c:pt idx="176">
                  <c:v>0.88000000000000067</c:v>
                </c:pt>
                <c:pt idx="177">
                  <c:v>0.88500000000000068</c:v>
                </c:pt>
                <c:pt idx="178">
                  <c:v>0.89000000000000068</c:v>
                </c:pt>
                <c:pt idx="179">
                  <c:v>0.89500000000000068</c:v>
                </c:pt>
                <c:pt idx="180">
                  <c:v>0.90000000000000069</c:v>
                </c:pt>
                <c:pt idx="181">
                  <c:v>0.90500000000000069</c:v>
                </c:pt>
                <c:pt idx="182">
                  <c:v>0.9100000000000007</c:v>
                </c:pt>
                <c:pt idx="183">
                  <c:v>0.9150000000000007</c:v>
                </c:pt>
                <c:pt idx="184">
                  <c:v>0.92000000000000071</c:v>
                </c:pt>
                <c:pt idx="185">
                  <c:v>0.92500000000000071</c:v>
                </c:pt>
                <c:pt idx="186">
                  <c:v>0.93000000000000071</c:v>
                </c:pt>
                <c:pt idx="187">
                  <c:v>0.93500000000000072</c:v>
                </c:pt>
                <c:pt idx="188">
                  <c:v>0.94000000000000072</c:v>
                </c:pt>
                <c:pt idx="189">
                  <c:v>0.94500000000000073</c:v>
                </c:pt>
                <c:pt idx="190">
                  <c:v>0.95000000000000073</c:v>
                </c:pt>
                <c:pt idx="191">
                  <c:v>0.95500000000000074</c:v>
                </c:pt>
                <c:pt idx="192">
                  <c:v>0.96000000000000074</c:v>
                </c:pt>
                <c:pt idx="193">
                  <c:v>0.96500000000000075</c:v>
                </c:pt>
                <c:pt idx="194">
                  <c:v>0.97000000000000075</c:v>
                </c:pt>
                <c:pt idx="195">
                  <c:v>0.97500000000000075</c:v>
                </c:pt>
                <c:pt idx="196">
                  <c:v>0.98000000000000076</c:v>
                </c:pt>
                <c:pt idx="197">
                  <c:v>0.98500000000000076</c:v>
                </c:pt>
                <c:pt idx="198">
                  <c:v>0.99000000000000077</c:v>
                </c:pt>
                <c:pt idx="199">
                  <c:v>0.99500000000000077</c:v>
                </c:pt>
                <c:pt idx="200">
                  <c:v>1.0000000000000007</c:v>
                </c:pt>
                <c:pt idx="201">
                  <c:v>1.0050000000000006</c:v>
                </c:pt>
                <c:pt idx="202">
                  <c:v>1.0100000000000005</c:v>
                </c:pt>
                <c:pt idx="203">
                  <c:v>1.0150000000000003</c:v>
                </c:pt>
                <c:pt idx="204">
                  <c:v>1.0200000000000002</c:v>
                </c:pt>
                <c:pt idx="205">
                  <c:v>1.0250000000000001</c:v>
                </c:pt>
                <c:pt idx="206">
                  <c:v>1.03</c:v>
                </c:pt>
                <c:pt idx="207">
                  <c:v>1.0349999999999999</c:v>
                </c:pt>
                <c:pt idx="208">
                  <c:v>1.0399999999999998</c:v>
                </c:pt>
                <c:pt idx="209">
                  <c:v>1.0449999999999997</c:v>
                </c:pt>
                <c:pt idx="210">
                  <c:v>1.0499999999999996</c:v>
                </c:pt>
                <c:pt idx="211">
                  <c:v>1.0549999999999995</c:v>
                </c:pt>
                <c:pt idx="212">
                  <c:v>1.0599999999999994</c:v>
                </c:pt>
                <c:pt idx="213">
                  <c:v>1.0649999999999993</c:v>
                </c:pt>
                <c:pt idx="214">
                  <c:v>1.0699999999999992</c:v>
                </c:pt>
                <c:pt idx="215">
                  <c:v>1.0749999999999991</c:v>
                </c:pt>
                <c:pt idx="216">
                  <c:v>1.079999999999999</c:v>
                </c:pt>
                <c:pt idx="217">
                  <c:v>1.0849999999999989</c:v>
                </c:pt>
                <c:pt idx="218">
                  <c:v>1.0899999999999987</c:v>
                </c:pt>
                <c:pt idx="219">
                  <c:v>1.0949999999999986</c:v>
                </c:pt>
                <c:pt idx="220">
                  <c:v>1.0999999999999985</c:v>
                </c:pt>
              </c:numCache>
            </c:numRef>
          </c:xVal>
          <c:yVal>
            <c:numRef>
              <c:f>('Atterberg Limits'!$O$7:$O$227,'Atterberg Limits'!$D$20)</c:f>
              <c:numCache>
                <c:formatCode>0.0\ %</c:formatCode>
                <c:ptCount val="222"/>
                <c:pt idx="0">
                  <c:v>0.04</c:v>
                </c:pt>
                <c:pt idx="1">
                  <c:v>0.04</c:v>
                </c:pt>
                <c:pt idx="2">
                  <c:v>0.04</c:v>
                </c:pt>
                <c:pt idx="3">
                  <c:v>0.04</c:v>
                </c:pt>
                <c:pt idx="4">
                  <c:v>0.04</c:v>
                </c:pt>
                <c:pt idx="5">
                  <c:v>0.04</c:v>
                </c:pt>
                <c:pt idx="6">
                  <c:v>0.04</c:v>
                </c:pt>
                <c:pt idx="7">
                  <c:v>0.04</c:v>
                </c:pt>
                <c:pt idx="8">
                  <c:v>0.04</c:v>
                </c:pt>
                <c:pt idx="9">
                  <c:v>0.04</c:v>
                </c:pt>
                <c:pt idx="10">
                  <c:v>0.04</c:v>
                </c:pt>
                <c:pt idx="11">
                  <c:v>0.04</c:v>
                </c:pt>
                <c:pt idx="12">
                  <c:v>0.04</c:v>
                </c:pt>
                <c:pt idx="13">
                  <c:v>0.04</c:v>
                </c:pt>
                <c:pt idx="14">
                  <c:v>0.04</c:v>
                </c:pt>
                <c:pt idx="15">
                  <c:v>0.04</c:v>
                </c:pt>
                <c:pt idx="16">
                  <c:v>0.04</c:v>
                </c:pt>
                <c:pt idx="17">
                  <c:v>0.04</c:v>
                </c:pt>
                <c:pt idx="18">
                  <c:v>0.04</c:v>
                </c:pt>
                <c:pt idx="19">
                  <c:v>0.04</c:v>
                </c:pt>
                <c:pt idx="20">
                  <c:v>0.04</c:v>
                </c:pt>
                <c:pt idx="21">
                  <c:v>0.04</c:v>
                </c:pt>
                <c:pt idx="22">
                  <c:v>0.04</c:v>
                </c:pt>
                <c:pt idx="23">
                  <c:v>0.04</c:v>
                </c:pt>
                <c:pt idx="24">
                  <c:v>0.04</c:v>
                </c:pt>
                <c:pt idx="25">
                  <c:v>0.04</c:v>
                </c:pt>
                <c:pt idx="26">
                  <c:v>0.04</c:v>
                </c:pt>
                <c:pt idx="27">
                  <c:v>0.04</c:v>
                </c:pt>
                <c:pt idx="28">
                  <c:v>0.04</c:v>
                </c:pt>
                <c:pt idx="29">
                  <c:v>0.04</c:v>
                </c:pt>
                <c:pt idx="30">
                  <c:v>0.04</c:v>
                </c:pt>
                <c:pt idx="31">
                  <c:v>0.04</c:v>
                </c:pt>
                <c:pt idx="32">
                  <c:v>0.04</c:v>
                </c:pt>
                <c:pt idx="33">
                  <c:v>0.04</c:v>
                </c:pt>
                <c:pt idx="34">
                  <c:v>0.04</c:v>
                </c:pt>
                <c:pt idx="35">
                  <c:v>0.04</c:v>
                </c:pt>
                <c:pt idx="36">
                  <c:v>0.04</c:v>
                </c:pt>
                <c:pt idx="37">
                  <c:v>0.04</c:v>
                </c:pt>
                <c:pt idx="38">
                  <c:v>0.04</c:v>
                </c:pt>
                <c:pt idx="39">
                  <c:v>0.04</c:v>
                </c:pt>
                <c:pt idx="40">
                  <c:v>0.04</c:v>
                </c:pt>
                <c:pt idx="41">
                  <c:v>0.04</c:v>
                </c:pt>
                <c:pt idx="42">
                  <c:v>0.04</c:v>
                </c:pt>
                <c:pt idx="43">
                  <c:v>0.04</c:v>
                </c:pt>
                <c:pt idx="44">
                  <c:v>0.04</c:v>
                </c:pt>
                <c:pt idx="45">
                  <c:v>0.04</c:v>
                </c:pt>
                <c:pt idx="46">
                  <c:v>0.04</c:v>
                </c:pt>
                <c:pt idx="47">
                  <c:v>0.04</c:v>
                </c:pt>
                <c:pt idx="48">
                  <c:v>0.04</c:v>
                </c:pt>
                <c:pt idx="49">
                  <c:v>0.04</c:v>
                </c:pt>
                <c:pt idx="50">
                  <c:v>0.04</c:v>
                </c:pt>
                <c:pt idx="51">
                  <c:v>0.04</c:v>
                </c:pt>
                <c:pt idx="52">
                  <c:v>4.3800000000000075E-2</c:v>
                </c:pt>
                <c:pt idx="53">
                  <c:v>4.7450000000000082E-2</c:v>
                </c:pt>
                <c:pt idx="54">
                  <c:v>5.1100000000000083E-2</c:v>
                </c:pt>
                <c:pt idx="55">
                  <c:v>5.475000000000009E-2</c:v>
                </c:pt>
                <c:pt idx="56">
                  <c:v>5.8400000000000091E-2</c:v>
                </c:pt>
                <c:pt idx="57">
                  <c:v>6.2050000000000091E-2</c:v>
                </c:pt>
                <c:pt idx="58">
                  <c:v>6.5700000000000092E-2</c:v>
                </c:pt>
                <c:pt idx="59">
                  <c:v>6.9350000000000106E-2</c:v>
                </c:pt>
                <c:pt idx="60">
                  <c:v>7.3000000000000106E-2</c:v>
                </c:pt>
                <c:pt idx="61">
                  <c:v>7.6650000000000107E-2</c:v>
                </c:pt>
                <c:pt idx="62">
                  <c:v>8.0300000000000107E-2</c:v>
                </c:pt>
                <c:pt idx="63">
                  <c:v>8.3950000000000108E-2</c:v>
                </c:pt>
                <c:pt idx="64">
                  <c:v>8.7600000000000122E-2</c:v>
                </c:pt>
                <c:pt idx="65">
                  <c:v>9.1250000000000123E-2</c:v>
                </c:pt>
                <c:pt idx="66">
                  <c:v>9.4900000000000123E-2</c:v>
                </c:pt>
                <c:pt idx="67">
                  <c:v>9.8550000000000124E-2</c:v>
                </c:pt>
                <c:pt idx="68">
                  <c:v>0.10220000000000012</c:v>
                </c:pt>
                <c:pt idx="69">
                  <c:v>0.10585000000000014</c:v>
                </c:pt>
                <c:pt idx="70">
                  <c:v>0.10950000000000014</c:v>
                </c:pt>
                <c:pt idx="71">
                  <c:v>0.11315000000000014</c:v>
                </c:pt>
                <c:pt idx="72">
                  <c:v>0.11680000000000014</c:v>
                </c:pt>
                <c:pt idx="73">
                  <c:v>0.12045000000000014</c:v>
                </c:pt>
                <c:pt idx="74">
                  <c:v>0.12410000000000015</c:v>
                </c:pt>
                <c:pt idx="75">
                  <c:v>0.12775000000000014</c:v>
                </c:pt>
                <c:pt idx="76">
                  <c:v>0.13140000000000016</c:v>
                </c:pt>
                <c:pt idx="77">
                  <c:v>0.13505000000000017</c:v>
                </c:pt>
                <c:pt idx="78">
                  <c:v>0.13870000000000016</c:v>
                </c:pt>
                <c:pt idx="79">
                  <c:v>0.14235000000000017</c:v>
                </c:pt>
                <c:pt idx="80">
                  <c:v>0.14600000000000016</c:v>
                </c:pt>
                <c:pt idx="81">
                  <c:v>0.14965000000000017</c:v>
                </c:pt>
                <c:pt idx="82">
                  <c:v>0.15330000000000019</c:v>
                </c:pt>
                <c:pt idx="83">
                  <c:v>0.15695000000000017</c:v>
                </c:pt>
                <c:pt idx="84">
                  <c:v>0.16060000000000019</c:v>
                </c:pt>
                <c:pt idx="85">
                  <c:v>0.16425000000000017</c:v>
                </c:pt>
                <c:pt idx="86">
                  <c:v>0.16790000000000019</c:v>
                </c:pt>
                <c:pt idx="87">
                  <c:v>0.1715500000000002</c:v>
                </c:pt>
                <c:pt idx="88">
                  <c:v>0.17520000000000019</c:v>
                </c:pt>
                <c:pt idx="89">
                  <c:v>0.1788500000000002</c:v>
                </c:pt>
                <c:pt idx="90">
                  <c:v>0.18250000000000019</c:v>
                </c:pt>
                <c:pt idx="91">
                  <c:v>0.1861500000000002</c:v>
                </c:pt>
                <c:pt idx="92">
                  <c:v>0.18980000000000019</c:v>
                </c:pt>
                <c:pt idx="93">
                  <c:v>0.19345000000000021</c:v>
                </c:pt>
                <c:pt idx="94">
                  <c:v>0.19710000000000022</c:v>
                </c:pt>
                <c:pt idx="95">
                  <c:v>0.20075000000000021</c:v>
                </c:pt>
                <c:pt idx="96">
                  <c:v>0.20440000000000022</c:v>
                </c:pt>
                <c:pt idx="97">
                  <c:v>0.20805000000000021</c:v>
                </c:pt>
                <c:pt idx="98">
                  <c:v>0.21170000000000022</c:v>
                </c:pt>
                <c:pt idx="99">
                  <c:v>0.21535000000000024</c:v>
                </c:pt>
                <c:pt idx="100">
                  <c:v>0.21900000000000022</c:v>
                </c:pt>
                <c:pt idx="101">
                  <c:v>0.22265000000000024</c:v>
                </c:pt>
                <c:pt idx="102">
                  <c:v>0.22630000000000022</c:v>
                </c:pt>
                <c:pt idx="103">
                  <c:v>0.22995000000000024</c:v>
                </c:pt>
                <c:pt idx="104">
                  <c:v>0.23360000000000025</c:v>
                </c:pt>
                <c:pt idx="105">
                  <c:v>0.23725000000000024</c:v>
                </c:pt>
                <c:pt idx="106">
                  <c:v>0.24090000000000025</c:v>
                </c:pt>
                <c:pt idx="107">
                  <c:v>0.24455000000000024</c:v>
                </c:pt>
                <c:pt idx="108">
                  <c:v>0.24820000000000025</c:v>
                </c:pt>
                <c:pt idx="109">
                  <c:v>0.25185000000000024</c:v>
                </c:pt>
                <c:pt idx="110">
                  <c:v>0.25550000000000028</c:v>
                </c:pt>
                <c:pt idx="111">
                  <c:v>0.25915000000000027</c:v>
                </c:pt>
                <c:pt idx="112">
                  <c:v>0.26280000000000026</c:v>
                </c:pt>
                <c:pt idx="113">
                  <c:v>0.2664500000000003</c:v>
                </c:pt>
                <c:pt idx="114">
                  <c:v>0.27010000000000028</c:v>
                </c:pt>
                <c:pt idx="115">
                  <c:v>0.27375000000000027</c:v>
                </c:pt>
                <c:pt idx="116">
                  <c:v>0.27740000000000026</c:v>
                </c:pt>
                <c:pt idx="117">
                  <c:v>0.2810500000000003</c:v>
                </c:pt>
                <c:pt idx="118">
                  <c:v>0.28470000000000029</c:v>
                </c:pt>
                <c:pt idx="119">
                  <c:v>0.28835000000000027</c:v>
                </c:pt>
                <c:pt idx="120">
                  <c:v>0.29200000000000031</c:v>
                </c:pt>
                <c:pt idx="121">
                  <c:v>0.2956500000000003</c:v>
                </c:pt>
                <c:pt idx="122">
                  <c:v>0.29930000000000029</c:v>
                </c:pt>
                <c:pt idx="123">
                  <c:v>0.30295000000000027</c:v>
                </c:pt>
                <c:pt idx="124">
                  <c:v>0.30660000000000032</c:v>
                </c:pt>
                <c:pt idx="125">
                  <c:v>0.3102500000000003</c:v>
                </c:pt>
                <c:pt idx="126">
                  <c:v>0.31390000000000029</c:v>
                </c:pt>
                <c:pt idx="127">
                  <c:v>0.31755000000000033</c:v>
                </c:pt>
                <c:pt idx="128">
                  <c:v>0.32120000000000032</c:v>
                </c:pt>
                <c:pt idx="129">
                  <c:v>0.32485000000000031</c:v>
                </c:pt>
                <c:pt idx="130">
                  <c:v>0.32850000000000035</c:v>
                </c:pt>
                <c:pt idx="131">
                  <c:v>0.33215000000000033</c:v>
                </c:pt>
                <c:pt idx="132">
                  <c:v>0.33580000000000032</c:v>
                </c:pt>
                <c:pt idx="133">
                  <c:v>0.33945000000000031</c:v>
                </c:pt>
                <c:pt idx="134">
                  <c:v>0.34310000000000035</c:v>
                </c:pt>
                <c:pt idx="135">
                  <c:v>0.34675000000000034</c:v>
                </c:pt>
                <c:pt idx="136">
                  <c:v>0.35040000000000032</c:v>
                </c:pt>
                <c:pt idx="137">
                  <c:v>0.35405000000000036</c:v>
                </c:pt>
                <c:pt idx="138">
                  <c:v>0.35770000000000035</c:v>
                </c:pt>
                <c:pt idx="139">
                  <c:v>0.36135000000000034</c:v>
                </c:pt>
                <c:pt idx="140">
                  <c:v>0.36500000000000032</c:v>
                </c:pt>
                <c:pt idx="141">
                  <c:v>0.36865000000000042</c:v>
                </c:pt>
                <c:pt idx="142">
                  <c:v>0.3723000000000003</c:v>
                </c:pt>
                <c:pt idx="143">
                  <c:v>0.37595000000000039</c:v>
                </c:pt>
                <c:pt idx="144">
                  <c:v>0.37960000000000033</c:v>
                </c:pt>
                <c:pt idx="145">
                  <c:v>0.38325000000000042</c:v>
                </c:pt>
                <c:pt idx="146">
                  <c:v>0.38690000000000035</c:v>
                </c:pt>
                <c:pt idx="147">
                  <c:v>0.3905500000000004</c:v>
                </c:pt>
                <c:pt idx="148">
                  <c:v>0.39420000000000033</c:v>
                </c:pt>
                <c:pt idx="149">
                  <c:v>0.39785000000000043</c:v>
                </c:pt>
                <c:pt idx="150">
                  <c:v>0.40150000000000036</c:v>
                </c:pt>
                <c:pt idx="151">
                  <c:v>0.40515000000000045</c:v>
                </c:pt>
                <c:pt idx="152">
                  <c:v>0.40880000000000033</c:v>
                </c:pt>
                <c:pt idx="153">
                  <c:v>0.41245000000000043</c:v>
                </c:pt>
                <c:pt idx="154">
                  <c:v>0.41610000000000036</c:v>
                </c:pt>
                <c:pt idx="155">
                  <c:v>0.41975000000000046</c:v>
                </c:pt>
                <c:pt idx="156">
                  <c:v>0.42340000000000039</c:v>
                </c:pt>
                <c:pt idx="157">
                  <c:v>0.42705000000000043</c:v>
                </c:pt>
                <c:pt idx="158">
                  <c:v>0.43070000000000036</c:v>
                </c:pt>
                <c:pt idx="159">
                  <c:v>0.43435000000000046</c:v>
                </c:pt>
                <c:pt idx="160">
                  <c:v>0.43800000000000039</c:v>
                </c:pt>
                <c:pt idx="161">
                  <c:v>0.44165000000000049</c:v>
                </c:pt>
                <c:pt idx="162">
                  <c:v>0.44530000000000036</c:v>
                </c:pt>
                <c:pt idx="163">
                  <c:v>0.44895000000000046</c:v>
                </c:pt>
                <c:pt idx="164">
                  <c:v>0.45260000000000039</c:v>
                </c:pt>
                <c:pt idx="165">
                  <c:v>0.45625000000000049</c:v>
                </c:pt>
                <c:pt idx="166">
                  <c:v>0.45990000000000042</c:v>
                </c:pt>
                <c:pt idx="167">
                  <c:v>0.46355000000000046</c:v>
                </c:pt>
                <c:pt idx="168">
                  <c:v>0.46720000000000039</c:v>
                </c:pt>
                <c:pt idx="169">
                  <c:v>0.47085000000000049</c:v>
                </c:pt>
                <c:pt idx="170">
                  <c:v>0.47450000000000042</c:v>
                </c:pt>
                <c:pt idx="171">
                  <c:v>0.47815000000000052</c:v>
                </c:pt>
                <c:pt idx="172">
                  <c:v>0.48180000000000039</c:v>
                </c:pt>
                <c:pt idx="173">
                  <c:v>0.48545000000000049</c:v>
                </c:pt>
                <c:pt idx="174">
                  <c:v>0.48910000000000042</c:v>
                </c:pt>
                <c:pt idx="175">
                  <c:v>0.49275000000000052</c:v>
                </c:pt>
                <c:pt idx="176">
                  <c:v>0.49640000000000045</c:v>
                </c:pt>
                <c:pt idx="177">
                  <c:v>0.50005000000000055</c:v>
                </c:pt>
                <c:pt idx="178">
                  <c:v>0.50370000000000048</c:v>
                </c:pt>
                <c:pt idx="179">
                  <c:v>0.50735000000000052</c:v>
                </c:pt>
                <c:pt idx="180">
                  <c:v>0.51100000000000045</c:v>
                </c:pt>
                <c:pt idx="181">
                  <c:v>0.5146500000000005</c:v>
                </c:pt>
                <c:pt idx="182">
                  <c:v>0.51830000000000043</c:v>
                </c:pt>
                <c:pt idx="183">
                  <c:v>0.52195000000000058</c:v>
                </c:pt>
                <c:pt idx="184">
                  <c:v>0.5256000000000004</c:v>
                </c:pt>
                <c:pt idx="185">
                  <c:v>0.52925000000000055</c:v>
                </c:pt>
                <c:pt idx="186">
                  <c:v>0.53290000000000048</c:v>
                </c:pt>
                <c:pt idx="187">
                  <c:v>0.53655000000000053</c:v>
                </c:pt>
                <c:pt idx="188">
                  <c:v>0.54020000000000046</c:v>
                </c:pt>
                <c:pt idx="189">
                  <c:v>0.5438500000000005</c:v>
                </c:pt>
                <c:pt idx="190">
                  <c:v>0.54750000000000043</c:v>
                </c:pt>
                <c:pt idx="191">
                  <c:v>0.55115000000000058</c:v>
                </c:pt>
                <c:pt idx="192">
                  <c:v>0.55480000000000051</c:v>
                </c:pt>
                <c:pt idx="193">
                  <c:v>0.55845000000000056</c:v>
                </c:pt>
                <c:pt idx="194">
                  <c:v>0.56210000000000049</c:v>
                </c:pt>
                <c:pt idx="195">
                  <c:v>0.56575000000000053</c:v>
                </c:pt>
                <c:pt idx="196">
                  <c:v>0.56940000000000046</c:v>
                </c:pt>
                <c:pt idx="197">
                  <c:v>0.57305000000000061</c:v>
                </c:pt>
                <c:pt idx="198">
                  <c:v>0.57670000000000055</c:v>
                </c:pt>
                <c:pt idx="199">
                  <c:v>0.58035000000000059</c:v>
                </c:pt>
                <c:pt idx="200">
                  <c:v>0.58400000000000052</c:v>
                </c:pt>
                <c:pt idx="201">
                  <c:v>0.58765000000000045</c:v>
                </c:pt>
                <c:pt idx="202">
                  <c:v>0.59130000000000038</c:v>
                </c:pt>
                <c:pt idx="203">
                  <c:v>0.59495000000000031</c:v>
                </c:pt>
                <c:pt idx="204">
                  <c:v>0.59860000000000024</c:v>
                </c:pt>
                <c:pt idx="205">
                  <c:v>0.60225000000000006</c:v>
                </c:pt>
                <c:pt idx="206">
                  <c:v>0.60589999999999999</c:v>
                </c:pt>
                <c:pt idx="207">
                  <c:v>0.60954999999999993</c:v>
                </c:pt>
                <c:pt idx="208">
                  <c:v>0.61319999999999986</c:v>
                </c:pt>
                <c:pt idx="209">
                  <c:v>0.61684999999999979</c:v>
                </c:pt>
                <c:pt idx="210">
                  <c:v>0.62049999999999972</c:v>
                </c:pt>
                <c:pt idx="211">
                  <c:v>0.62414999999999965</c:v>
                </c:pt>
                <c:pt idx="212">
                  <c:v>0.62779999999999958</c:v>
                </c:pt>
                <c:pt idx="213">
                  <c:v>0.63144999999999951</c:v>
                </c:pt>
                <c:pt idx="214">
                  <c:v>0.63509999999999944</c:v>
                </c:pt>
                <c:pt idx="215">
                  <c:v>0.63874999999999937</c:v>
                </c:pt>
                <c:pt idx="216">
                  <c:v>0.6423999999999993</c:v>
                </c:pt>
                <c:pt idx="217">
                  <c:v>0.64604999999999912</c:v>
                </c:pt>
                <c:pt idx="218">
                  <c:v>0.64969999999999906</c:v>
                </c:pt>
                <c:pt idx="219">
                  <c:v>0.65334999999999899</c:v>
                </c:pt>
                <c:pt idx="220">
                  <c:v>0.65699999999999892</c:v>
                </c:pt>
                <c:pt idx="221">
                  <c:v>0</c:v>
                </c:pt>
              </c:numCache>
            </c:numRef>
          </c:yVal>
        </c:ser>
        <c:ser>
          <c:idx val="3"/>
          <c:order val="2"/>
          <c:tx>
            <c:v>LL=50</c:v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'Atterberg Limits'!$Q$7:$Q$227</c:f>
              <c:numCache>
                <c:formatCode>0.0\ %</c:formatCode>
                <c:ptCount val="221"/>
                <c:pt idx="0">
                  <c:v>0.5</c:v>
                </c:pt>
                <c:pt idx="1">
                  <c:v>0.5</c:v>
                </c:pt>
                <c:pt idx="2">
                  <c:v>0.5</c:v>
                </c:pt>
                <c:pt idx="3">
                  <c:v>0.5</c:v>
                </c:pt>
                <c:pt idx="4">
                  <c:v>0.5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0.5</c:v>
                </c:pt>
                <c:pt idx="15">
                  <c:v>0.5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0.5</c:v>
                </c:pt>
                <c:pt idx="20">
                  <c:v>0.5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0.5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0.5</c:v>
                </c:pt>
                <c:pt idx="29">
                  <c:v>0.5</c:v>
                </c:pt>
                <c:pt idx="30">
                  <c:v>0.5</c:v>
                </c:pt>
                <c:pt idx="31">
                  <c:v>0.5</c:v>
                </c:pt>
                <c:pt idx="32">
                  <c:v>0.5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0.5</c:v>
                </c:pt>
                <c:pt idx="39">
                  <c:v>0.5</c:v>
                </c:pt>
                <c:pt idx="40">
                  <c:v>0.5</c:v>
                </c:pt>
                <c:pt idx="41">
                  <c:v>0.5</c:v>
                </c:pt>
                <c:pt idx="42">
                  <c:v>0.5</c:v>
                </c:pt>
                <c:pt idx="43">
                  <c:v>0.5</c:v>
                </c:pt>
                <c:pt idx="44">
                  <c:v>0.5</c:v>
                </c:pt>
                <c:pt idx="45">
                  <c:v>0.5</c:v>
                </c:pt>
                <c:pt idx="46">
                  <c:v>0.5</c:v>
                </c:pt>
                <c:pt idx="47">
                  <c:v>0.5</c:v>
                </c:pt>
                <c:pt idx="48">
                  <c:v>0.5</c:v>
                </c:pt>
                <c:pt idx="49">
                  <c:v>0.5</c:v>
                </c:pt>
                <c:pt idx="50">
                  <c:v>0.5</c:v>
                </c:pt>
                <c:pt idx="51">
                  <c:v>0.5</c:v>
                </c:pt>
                <c:pt idx="52">
                  <c:v>0.5</c:v>
                </c:pt>
                <c:pt idx="53">
                  <c:v>0.5</c:v>
                </c:pt>
                <c:pt idx="54">
                  <c:v>0.5</c:v>
                </c:pt>
                <c:pt idx="55">
                  <c:v>0.5</c:v>
                </c:pt>
                <c:pt idx="56">
                  <c:v>0.5</c:v>
                </c:pt>
                <c:pt idx="57">
                  <c:v>0.5</c:v>
                </c:pt>
                <c:pt idx="58">
                  <c:v>0.5</c:v>
                </c:pt>
                <c:pt idx="59">
                  <c:v>0.5</c:v>
                </c:pt>
                <c:pt idx="60">
                  <c:v>0.5</c:v>
                </c:pt>
                <c:pt idx="61">
                  <c:v>0.5</c:v>
                </c:pt>
                <c:pt idx="62">
                  <c:v>0.5</c:v>
                </c:pt>
                <c:pt idx="63">
                  <c:v>0.5</c:v>
                </c:pt>
                <c:pt idx="64">
                  <c:v>0.5</c:v>
                </c:pt>
                <c:pt idx="65">
                  <c:v>0.5</c:v>
                </c:pt>
                <c:pt idx="66">
                  <c:v>0.5</c:v>
                </c:pt>
                <c:pt idx="67">
                  <c:v>0.5</c:v>
                </c:pt>
                <c:pt idx="68">
                  <c:v>0.5</c:v>
                </c:pt>
                <c:pt idx="69">
                  <c:v>0.5</c:v>
                </c:pt>
                <c:pt idx="70">
                  <c:v>0.5</c:v>
                </c:pt>
                <c:pt idx="71">
                  <c:v>0.5</c:v>
                </c:pt>
                <c:pt idx="72">
                  <c:v>0.5</c:v>
                </c:pt>
                <c:pt idx="73">
                  <c:v>0.5</c:v>
                </c:pt>
                <c:pt idx="74">
                  <c:v>0.5</c:v>
                </c:pt>
                <c:pt idx="75">
                  <c:v>0.5</c:v>
                </c:pt>
                <c:pt idx="76">
                  <c:v>0.5</c:v>
                </c:pt>
                <c:pt idx="77">
                  <c:v>0.5</c:v>
                </c:pt>
                <c:pt idx="78">
                  <c:v>0.5</c:v>
                </c:pt>
                <c:pt idx="79">
                  <c:v>0.5</c:v>
                </c:pt>
                <c:pt idx="80">
                  <c:v>0.5</c:v>
                </c:pt>
                <c:pt idx="81">
                  <c:v>0.5</c:v>
                </c:pt>
                <c:pt idx="82">
                  <c:v>0.5</c:v>
                </c:pt>
                <c:pt idx="83">
                  <c:v>0.5</c:v>
                </c:pt>
                <c:pt idx="84">
                  <c:v>0.5</c:v>
                </c:pt>
                <c:pt idx="85">
                  <c:v>0.5</c:v>
                </c:pt>
                <c:pt idx="86">
                  <c:v>0.5</c:v>
                </c:pt>
                <c:pt idx="87">
                  <c:v>0.5</c:v>
                </c:pt>
                <c:pt idx="88">
                  <c:v>0.5</c:v>
                </c:pt>
                <c:pt idx="89">
                  <c:v>0.5</c:v>
                </c:pt>
                <c:pt idx="90">
                  <c:v>0.5</c:v>
                </c:pt>
                <c:pt idx="91">
                  <c:v>0.5</c:v>
                </c:pt>
                <c:pt idx="92">
                  <c:v>0.5</c:v>
                </c:pt>
                <c:pt idx="93">
                  <c:v>0.5</c:v>
                </c:pt>
                <c:pt idx="94">
                  <c:v>0.5</c:v>
                </c:pt>
                <c:pt idx="95">
                  <c:v>0.5</c:v>
                </c:pt>
                <c:pt idx="96">
                  <c:v>0.5</c:v>
                </c:pt>
                <c:pt idx="97">
                  <c:v>0.5</c:v>
                </c:pt>
                <c:pt idx="98">
                  <c:v>0.5</c:v>
                </c:pt>
                <c:pt idx="99">
                  <c:v>0.5</c:v>
                </c:pt>
                <c:pt idx="100">
                  <c:v>0.5</c:v>
                </c:pt>
              </c:numCache>
            </c:numRef>
          </c:xVal>
          <c:yVal>
            <c:numRef>
              <c:f>'Atterberg Limits'!$M$7:$M$227</c:f>
              <c:numCache>
                <c:formatCode>0.0\ %</c:formatCode>
                <c:ptCount val="22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  <c:pt idx="51">
                  <c:v>0.25500000000000012</c:v>
                </c:pt>
                <c:pt idx="52">
                  <c:v>0.26000000000000012</c:v>
                </c:pt>
                <c:pt idx="53">
                  <c:v>0.26500000000000012</c:v>
                </c:pt>
                <c:pt idx="54">
                  <c:v>0.27000000000000013</c:v>
                </c:pt>
                <c:pt idx="55">
                  <c:v>0.27500000000000013</c:v>
                </c:pt>
                <c:pt idx="56">
                  <c:v>0.28000000000000014</c:v>
                </c:pt>
                <c:pt idx="57">
                  <c:v>0.28500000000000014</c:v>
                </c:pt>
                <c:pt idx="58">
                  <c:v>0.29000000000000015</c:v>
                </c:pt>
                <c:pt idx="59">
                  <c:v>0.29500000000000015</c:v>
                </c:pt>
                <c:pt idx="60">
                  <c:v>0.30000000000000016</c:v>
                </c:pt>
                <c:pt idx="61">
                  <c:v>0.30500000000000016</c:v>
                </c:pt>
                <c:pt idx="62">
                  <c:v>0.31000000000000016</c:v>
                </c:pt>
                <c:pt idx="63">
                  <c:v>0.31500000000000017</c:v>
                </c:pt>
                <c:pt idx="64">
                  <c:v>0.32000000000000017</c:v>
                </c:pt>
                <c:pt idx="65">
                  <c:v>0.32500000000000018</c:v>
                </c:pt>
                <c:pt idx="66">
                  <c:v>0.33000000000000018</c:v>
                </c:pt>
                <c:pt idx="67">
                  <c:v>0.33500000000000019</c:v>
                </c:pt>
                <c:pt idx="68">
                  <c:v>0.34000000000000019</c:v>
                </c:pt>
                <c:pt idx="69">
                  <c:v>0.3450000000000002</c:v>
                </c:pt>
                <c:pt idx="70">
                  <c:v>0.3500000000000002</c:v>
                </c:pt>
                <c:pt idx="71">
                  <c:v>0.3550000000000002</c:v>
                </c:pt>
                <c:pt idx="72">
                  <c:v>0.36000000000000021</c:v>
                </c:pt>
                <c:pt idx="73">
                  <c:v>0.36500000000000021</c:v>
                </c:pt>
                <c:pt idx="74">
                  <c:v>0.37000000000000022</c:v>
                </c:pt>
                <c:pt idx="75">
                  <c:v>0.37500000000000022</c:v>
                </c:pt>
                <c:pt idx="76">
                  <c:v>0.38000000000000023</c:v>
                </c:pt>
                <c:pt idx="77">
                  <c:v>0.38500000000000023</c:v>
                </c:pt>
                <c:pt idx="78">
                  <c:v>0.39000000000000024</c:v>
                </c:pt>
                <c:pt idx="79">
                  <c:v>0.39500000000000024</c:v>
                </c:pt>
                <c:pt idx="80">
                  <c:v>0.40000000000000024</c:v>
                </c:pt>
                <c:pt idx="81">
                  <c:v>0.40500000000000025</c:v>
                </c:pt>
                <c:pt idx="82">
                  <c:v>0.41000000000000025</c:v>
                </c:pt>
                <c:pt idx="83">
                  <c:v>0.41500000000000026</c:v>
                </c:pt>
                <c:pt idx="84">
                  <c:v>0.42000000000000026</c:v>
                </c:pt>
                <c:pt idx="85">
                  <c:v>0.42500000000000027</c:v>
                </c:pt>
                <c:pt idx="86">
                  <c:v>0.43000000000000027</c:v>
                </c:pt>
                <c:pt idx="87">
                  <c:v>0.43500000000000028</c:v>
                </c:pt>
                <c:pt idx="88">
                  <c:v>0.44000000000000028</c:v>
                </c:pt>
                <c:pt idx="89">
                  <c:v>0.44500000000000028</c:v>
                </c:pt>
                <c:pt idx="90">
                  <c:v>0.45000000000000029</c:v>
                </c:pt>
                <c:pt idx="91">
                  <c:v>0.45500000000000029</c:v>
                </c:pt>
                <c:pt idx="92">
                  <c:v>0.4600000000000003</c:v>
                </c:pt>
                <c:pt idx="93">
                  <c:v>0.4650000000000003</c:v>
                </c:pt>
                <c:pt idx="94">
                  <c:v>0.47000000000000031</c:v>
                </c:pt>
                <c:pt idx="95">
                  <c:v>0.47500000000000031</c:v>
                </c:pt>
                <c:pt idx="96">
                  <c:v>0.48000000000000032</c:v>
                </c:pt>
                <c:pt idx="97">
                  <c:v>0.48500000000000032</c:v>
                </c:pt>
                <c:pt idx="98">
                  <c:v>0.49000000000000032</c:v>
                </c:pt>
                <c:pt idx="99">
                  <c:v>0.49500000000000033</c:v>
                </c:pt>
                <c:pt idx="100">
                  <c:v>0.50000000000000033</c:v>
                </c:pt>
                <c:pt idx="101">
                  <c:v>0.50500000000000034</c:v>
                </c:pt>
                <c:pt idx="102">
                  <c:v>0.51000000000000034</c:v>
                </c:pt>
                <c:pt idx="103">
                  <c:v>0.51500000000000035</c:v>
                </c:pt>
                <c:pt idx="104">
                  <c:v>0.52000000000000035</c:v>
                </c:pt>
                <c:pt idx="105">
                  <c:v>0.52500000000000036</c:v>
                </c:pt>
                <c:pt idx="106">
                  <c:v>0.53000000000000036</c:v>
                </c:pt>
                <c:pt idx="107">
                  <c:v>0.53500000000000036</c:v>
                </c:pt>
                <c:pt idx="108">
                  <c:v>0.54000000000000037</c:v>
                </c:pt>
                <c:pt idx="109">
                  <c:v>0.54500000000000037</c:v>
                </c:pt>
                <c:pt idx="110">
                  <c:v>0.55000000000000038</c:v>
                </c:pt>
                <c:pt idx="111">
                  <c:v>0.55500000000000038</c:v>
                </c:pt>
                <c:pt idx="112">
                  <c:v>0.56000000000000039</c:v>
                </c:pt>
                <c:pt idx="113">
                  <c:v>0.56500000000000039</c:v>
                </c:pt>
                <c:pt idx="114">
                  <c:v>0.5700000000000004</c:v>
                </c:pt>
                <c:pt idx="115">
                  <c:v>0.5750000000000004</c:v>
                </c:pt>
                <c:pt idx="116">
                  <c:v>0.5800000000000004</c:v>
                </c:pt>
                <c:pt idx="117">
                  <c:v>0.58500000000000041</c:v>
                </c:pt>
                <c:pt idx="118">
                  <c:v>0.59000000000000041</c:v>
                </c:pt>
                <c:pt idx="119">
                  <c:v>0.59500000000000042</c:v>
                </c:pt>
                <c:pt idx="120">
                  <c:v>0.60000000000000042</c:v>
                </c:pt>
                <c:pt idx="121">
                  <c:v>0.60500000000000043</c:v>
                </c:pt>
                <c:pt idx="122">
                  <c:v>0.61000000000000043</c:v>
                </c:pt>
                <c:pt idx="123">
                  <c:v>0.61500000000000044</c:v>
                </c:pt>
                <c:pt idx="124">
                  <c:v>0.62000000000000044</c:v>
                </c:pt>
                <c:pt idx="125">
                  <c:v>0.62500000000000044</c:v>
                </c:pt>
                <c:pt idx="126">
                  <c:v>0.63000000000000045</c:v>
                </c:pt>
                <c:pt idx="127">
                  <c:v>0.63500000000000045</c:v>
                </c:pt>
                <c:pt idx="128">
                  <c:v>0.64000000000000046</c:v>
                </c:pt>
                <c:pt idx="129">
                  <c:v>0.64500000000000046</c:v>
                </c:pt>
                <c:pt idx="130">
                  <c:v>0.65000000000000047</c:v>
                </c:pt>
                <c:pt idx="131">
                  <c:v>0.65500000000000047</c:v>
                </c:pt>
                <c:pt idx="132">
                  <c:v>0.66000000000000048</c:v>
                </c:pt>
                <c:pt idx="133">
                  <c:v>0.66500000000000048</c:v>
                </c:pt>
                <c:pt idx="134">
                  <c:v>0.67000000000000048</c:v>
                </c:pt>
                <c:pt idx="135">
                  <c:v>0.67500000000000049</c:v>
                </c:pt>
                <c:pt idx="136">
                  <c:v>0.68000000000000049</c:v>
                </c:pt>
                <c:pt idx="137">
                  <c:v>0.6850000000000005</c:v>
                </c:pt>
                <c:pt idx="138">
                  <c:v>0.6900000000000005</c:v>
                </c:pt>
                <c:pt idx="139">
                  <c:v>0.69500000000000051</c:v>
                </c:pt>
                <c:pt idx="140">
                  <c:v>0.70000000000000051</c:v>
                </c:pt>
                <c:pt idx="141">
                  <c:v>0.70500000000000052</c:v>
                </c:pt>
                <c:pt idx="142">
                  <c:v>0.71000000000000052</c:v>
                </c:pt>
                <c:pt idx="143">
                  <c:v>0.71500000000000052</c:v>
                </c:pt>
                <c:pt idx="144">
                  <c:v>0.72000000000000053</c:v>
                </c:pt>
                <c:pt idx="145">
                  <c:v>0.72500000000000053</c:v>
                </c:pt>
                <c:pt idx="146">
                  <c:v>0.73000000000000054</c:v>
                </c:pt>
                <c:pt idx="147">
                  <c:v>0.73500000000000054</c:v>
                </c:pt>
                <c:pt idx="148">
                  <c:v>0.74000000000000055</c:v>
                </c:pt>
                <c:pt idx="149">
                  <c:v>0.74500000000000055</c:v>
                </c:pt>
                <c:pt idx="150">
                  <c:v>0.75000000000000056</c:v>
                </c:pt>
                <c:pt idx="151">
                  <c:v>0.75500000000000056</c:v>
                </c:pt>
                <c:pt idx="152">
                  <c:v>0.76000000000000056</c:v>
                </c:pt>
                <c:pt idx="153">
                  <c:v>0.76500000000000057</c:v>
                </c:pt>
                <c:pt idx="154">
                  <c:v>0.77000000000000057</c:v>
                </c:pt>
                <c:pt idx="155">
                  <c:v>0.77500000000000058</c:v>
                </c:pt>
                <c:pt idx="156">
                  <c:v>0.78000000000000058</c:v>
                </c:pt>
                <c:pt idx="157">
                  <c:v>0.78500000000000059</c:v>
                </c:pt>
                <c:pt idx="158">
                  <c:v>0.79000000000000059</c:v>
                </c:pt>
                <c:pt idx="159">
                  <c:v>0.7950000000000006</c:v>
                </c:pt>
                <c:pt idx="160">
                  <c:v>0.8000000000000006</c:v>
                </c:pt>
                <c:pt idx="161">
                  <c:v>0.8050000000000006</c:v>
                </c:pt>
                <c:pt idx="162">
                  <c:v>0.81000000000000061</c:v>
                </c:pt>
                <c:pt idx="163">
                  <c:v>0.81500000000000061</c:v>
                </c:pt>
                <c:pt idx="164">
                  <c:v>0.82000000000000062</c:v>
                </c:pt>
                <c:pt idx="165">
                  <c:v>0.82500000000000062</c:v>
                </c:pt>
                <c:pt idx="166">
                  <c:v>0.83000000000000063</c:v>
                </c:pt>
                <c:pt idx="167">
                  <c:v>0.83500000000000063</c:v>
                </c:pt>
                <c:pt idx="168">
                  <c:v>0.84000000000000064</c:v>
                </c:pt>
                <c:pt idx="169">
                  <c:v>0.84500000000000064</c:v>
                </c:pt>
                <c:pt idx="170">
                  <c:v>0.85000000000000064</c:v>
                </c:pt>
                <c:pt idx="171">
                  <c:v>0.85500000000000065</c:v>
                </c:pt>
                <c:pt idx="172">
                  <c:v>0.86000000000000065</c:v>
                </c:pt>
                <c:pt idx="173">
                  <c:v>0.86500000000000066</c:v>
                </c:pt>
                <c:pt idx="174">
                  <c:v>0.87000000000000066</c:v>
                </c:pt>
                <c:pt idx="175">
                  <c:v>0.87500000000000067</c:v>
                </c:pt>
                <c:pt idx="176">
                  <c:v>0.88000000000000067</c:v>
                </c:pt>
                <c:pt idx="177">
                  <c:v>0.88500000000000068</c:v>
                </c:pt>
                <c:pt idx="178">
                  <c:v>0.89000000000000068</c:v>
                </c:pt>
                <c:pt idx="179">
                  <c:v>0.89500000000000068</c:v>
                </c:pt>
                <c:pt idx="180">
                  <c:v>0.90000000000000069</c:v>
                </c:pt>
                <c:pt idx="181">
                  <c:v>0.90500000000000069</c:v>
                </c:pt>
                <c:pt idx="182">
                  <c:v>0.9100000000000007</c:v>
                </c:pt>
                <c:pt idx="183">
                  <c:v>0.9150000000000007</c:v>
                </c:pt>
                <c:pt idx="184">
                  <c:v>0.92000000000000071</c:v>
                </c:pt>
                <c:pt idx="185">
                  <c:v>0.92500000000000071</c:v>
                </c:pt>
                <c:pt idx="186">
                  <c:v>0.93000000000000071</c:v>
                </c:pt>
                <c:pt idx="187">
                  <c:v>0.93500000000000072</c:v>
                </c:pt>
                <c:pt idx="188">
                  <c:v>0.94000000000000072</c:v>
                </c:pt>
                <c:pt idx="189">
                  <c:v>0.94500000000000073</c:v>
                </c:pt>
                <c:pt idx="190">
                  <c:v>0.95000000000000073</c:v>
                </c:pt>
                <c:pt idx="191">
                  <c:v>0.95500000000000074</c:v>
                </c:pt>
                <c:pt idx="192">
                  <c:v>0.96000000000000074</c:v>
                </c:pt>
                <c:pt idx="193">
                  <c:v>0.96500000000000075</c:v>
                </c:pt>
                <c:pt idx="194">
                  <c:v>0.97000000000000075</c:v>
                </c:pt>
                <c:pt idx="195">
                  <c:v>0.97500000000000075</c:v>
                </c:pt>
                <c:pt idx="196">
                  <c:v>0.98000000000000076</c:v>
                </c:pt>
                <c:pt idx="197">
                  <c:v>0.98500000000000076</c:v>
                </c:pt>
                <c:pt idx="198">
                  <c:v>0.99000000000000077</c:v>
                </c:pt>
                <c:pt idx="199">
                  <c:v>0.99500000000000077</c:v>
                </c:pt>
                <c:pt idx="200">
                  <c:v>1.0000000000000007</c:v>
                </c:pt>
                <c:pt idx="201">
                  <c:v>1.0050000000000006</c:v>
                </c:pt>
                <c:pt idx="202">
                  <c:v>1.0100000000000005</c:v>
                </c:pt>
                <c:pt idx="203">
                  <c:v>1.0150000000000003</c:v>
                </c:pt>
                <c:pt idx="204">
                  <c:v>1.0200000000000002</c:v>
                </c:pt>
                <c:pt idx="205">
                  <c:v>1.0250000000000001</c:v>
                </c:pt>
                <c:pt idx="206">
                  <c:v>1.03</c:v>
                </c:pt>
                <c:pt idx="207">
                  <c:v>1.0349999999999999</c:v>
                </c:pt>
                <c:pt idx="208">
                  <c:v>1.0399999999999998</c:v>
                </c:pt>
                <c:pt idx="209">
                  <c:v>1.0449999999999997</c:v>
                </c:pt>
                <c:pt idx="210">
                  <c:v>1.0499999999999996</c:v>
                </c:pt>
                <c:pt idx="211">
                  <c:v>1.0549999999999995</c:v>
                </c:pt>
                <c:pt idx="212">
                  <c:v>1.0599999999999994</c:v>
                </c:pt>
                <c:pt idx="213">
                  <c:v>1.0649999999999993</c:v>
                </c:pt>
                <c:pt idx="214">
                  <c:v>1.0699999999999992</c:v>
                </c:pt>
                <c:pt idx="215">
                  <c:v>1.0749999999999991</c:v>
                </c:pt>
                <c:pt idx="216">
                  <c:v>1.079999999999999</c:v>
                </c:pt>
                <c:pt idx="217">
                  <c:v>1.0849999999999989</c:v>
                </c:pt>
                <c:pt idx="218">
                  <c:v>1.0899999999999987</c:v>
                </c:pt>
                <c:pt idx="219">
                  <c:v>1.0949999999999986</c:v>
                </c:pt>
                <c:pt idx="220">
                  <c:v>1.0999999999999985</c:v>
                </c:pt>
              </c:numCache>
            </c:numRef>
          </c:yVal>
        </c:ser>
        <c:ser>
          <c:idx val="4"/>
          <c:order val="3"/>
          <c:tx>
            <c:v>45° Line</c:v>
          </c:tx>
          <c:spPr>
            <a:ln w="3175">
              <a:solidFill>
                <a:srgbClr val="800080"/>
              </a:solidFill>
              <a:prstDash val="solid"/>
            </a:ln>
          </c:spPr>
          <c:marker>
            <c:symbol val="none"/>
          </c:marker>
          <c:xVal>
            <c:numRef>
              <c:f>'Atterberg Limits'!$M$7:$M$227</c:f>
              <c:numCache>
                <c:formatCode>0.0\ %</c:formatCode>
                <c:ptCount val="22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  <c:pt idx="51">
                  <c:v>0.25500000000000012</c:v>
                </c:pt>
                <c:pt idx="52">
                  <c:v>0.26000000000000012</c:v>
                </c:pt>
                <c:pt idx="53">
                  <c:v>0.26500000000000012</c:v>
                </c:pt>
                <c:pt idx="54">
                  <c:v>0.27000000000000013</c:v>
                </c:pt>
                <c:pt idx="55">
                  <c:v>0.27500000000000013</c:v>
                </c:pt>
                <c:pt idx="56">
                  <c:v>0.28000000000000014</c:v>
                </c:pt>
                <c:pt idx="57">
                  <c:v>0.28500000000000014</c:v>
                </c:pt>
                <c:pt idx="58">
                  <c:v>0.29000000000000015</c:v>
                </c:pt>
                <c:pt idx="59">
                  <c:v>0.29500000000000015</c:v>
                </c:pt>
                <c:pt idx="60">
                  <c:v>0.30000000000000016</c:v>
                </c:pt>
                <c:pt idx="61">
                  <c:v>0.30500000000000016</c:v>
                </c:pt>
                <c:pt idx="62">
                  <c:v>0.31000000000000016</c:v>
                </c:pt>
                <c:pt idx="63">
                  <c:v>0.31500000000000017</c:v>
                </c:pt>
                <c:pt idx="64">
                  <c:v>0.32000000000000017</c:v>
                </c:pt>
                <c:pt idx="65">
                  <c:v>0.32500000000000018</c:v>
                </c:pt>
                <c:pt idx="66">
                  <c:v>0.33000000000000018</c:v>
                </c:pt>
                <c:pt idx="67">
                  <c:v>0.33500000000000019</c:v>
                </c:pt>
                <c:pt idx="68">
                  <c:v>0.34000000000000019</c:v>
                </c:pt>
                <c:pt idx="69">
                  <c:v>0.3450000000000002</c:v>
                </c:pt>
                <c:pt idx="70">
                  <c:v>0.3500000000000002</c:v>
                </c:pt>
                <c:pt idx="71">
                  <c:v>0.3550000000000002</c:v>
                </c:pt>
                <c:pt idx="72">
                  <c:v>0.36000000000000021</c:v>
                </c:pt>
                <c:pt idx="73">
                  <c:v>0.36500000000000021</c:v>
                </c:pt>
                <c:pt idx="74">
                  <c:v>0.37000000000000022</c:v>
                </c:pt>
                <c:pt idx="75">
                  <c:v>0.37500000000000022</c:v>
                </c:pt>
                <c:pt idx="76">
                  <c:v>0.38000000000000023</c:v>
                </c:pt>
                <c:pt idx="77">
                  <c:v>0.38500000000000023</c:v>
                </c:pt>
                <c:pt idx="78">
                  <c:v>0.39000000000000024</c:v>
                </c:pt>
                <c:pt idx="79">
                  <c:v>0.39500000000000024</c:v>
                </c:pt>
                <c:pt idx="80">
                  <c:v>0.40000000000000024</c:v>
                </c:pt>
                <c:pt idx="81">
                  <c:v>0.40500000000000025</c:v>
                </c:pt>
                <c:pt idx="82">
                  <c:v>0.41000000000000025</c:v>
                </c:pt>
                <c:pt idx="83">
                  <c:v>0.41500000000000026</c:v>
                </c:pt>
                <c:pt idx="84">
                  <c:v>0.42000000000000026</c:v>
                </c:pt>
                <c:pt idx="85">
                  <c:v>0.42500000000000027</c:v>
                </c:pt>
                <c:pt idx="86">
                  <c:v>0.43000000000000027</c:v>
                </c:pt>
                <c:pt idx="87">
                  <c:v>0.43500000000000028</c:v>
                </c:pt>
                <c:pt idx="88">
                  <c:v>0.44000000000000028</c:v>
                </c:pt>
                <c:pt idx="89">
                  <c:v>0.44500000000000028</c:v>
                </c:pt>
                <c:pt idx="90">
                  <c:v>0.45000000000000029</c:v>
                </c:pt>
                <c:pt idx="91">
                  <c:v>0.45500000000000029</c:v>
                </c:pt>
                <c:pt idx="92">
                  <c:v>0.4600000000000003</c:v>
                </c:pt>
                <c:pt idx="93">
                  <c:v>0.4650000000000003</c:v>
                </c:pt>
                <c:pt idx="94">
                  <c:v>0.47000000000000031</c:v>
                </c:pt>
                <c:pt idx="95">
                  <c:v>0.47500000000000031</c:v>
                </c:pt>
                <c:pt idx="96">
                  <c:v>0.48000000000000032</c:v>
                </c:pt>
                <c:pt idx="97">
                  <c:v>0.48500000000000032</c:v>
                </c:pt>
                <c:pt idx="98">
                  <c:v>0.49000000000000032</c:v>
                </c:pt>
                <c:pt idx="99">
                  <c:v>0.49500000000000033</c:v>
                </c:pt>
                <c:pt idx="100">
                  <c:v>0.50000000000000033</c:v>
                </c:pt>
                <c:pt idx="101">
                  <c:v>0.50500000000000034</c:v>
                </c:pt>
                <c:pt idx="102">
                  <c:v>0.51000000000000034</c:v>
                </c:pt>
                <c:pt idx="103">
                  <c:v>0.51500000000000035</c:v>
                </c:pt>
                <c:pt idx="104">
                  <c:v>0.52000000000000035</c:v>
                </c:pt>
                <c:pt idx="105">
                  <c:v>0.52500000000000036</c:v>
                </c:pt>
                <c:pt idx="106">
                  <c:v>0.53000000000000036</c:v>
                </c:pt>
                <c:pt idx="107">
                  <c:v>0.53500000000000036</c:v>
                </c:pt>
                <c:pt idx="108">
                  <c:v>0.54000000000000037</c:v>
                </c:pt>
                <c:pt idx="109">
                  <c:v>0.54500000000000037</c:v>
                </c:pt>
                <c:pt idx="110">
                  <c:v>0.55000000000000038</c:v>
                </c:pt>
                <c:pt idx="111">
                  <c:v>0.55500000000000038</c:v>
                </c:pt>
                <c:pt idx="112">
                  <c:v>0.56000000000000039</c:v>
                </c:pt>
                <c:pt idx="113">
                  <c:v>0.56500000000000039</c:v>
                </c:pt>
                <c:pt idx="114">
                  <c:v>0.5700000000000004</c:v>
                </c:pt>
                <c:pt idx="115">
                  <c:v>0.5750000000000004</c:v>
                </c:pt>
                <c:pt idx="116">
                  <c:v>0.5800000000000004</c:v>
                </c:pt>
                <c:pt idx="117">
                  <c:v>0.58500000000000041</c:v>
                </c:pt>
                <c:pt idx="118">
                  <c:v>0.59000000000000041</c:v>
                </c:pt>
                <c:pt idx="119">
                  <c:v>0.59500000000000042</c:v>
                </c:pt>
                <c:pt idx="120">
                  <c:v>0.60000000000000042</c:v>
                </c:pt>
                <c:pt idx="121">
                  <c:v>0.60500000000000043</c:v>
                </c:pt>
                <c:pt idx="122">
                  <c:v>0.61000000000000043</c:v>
                </c:pt>
                <c:pt idx="123">
                  <c:v>0.61500000000000044</c:v>
                </c:pt>
                <c:pt idx="124">
                  <c:v>0.62000000000000044</c:v>
                </c:pt>
                <c:pt idx="125">
                  <c:v>0.62500000000000044</c:v>
                </c:pt>
                <c:pt idx="126">
                  <c:v>0.63000000000000045</c:v>
                </c:pt>
                <c:pt idx="127">
                  <c:v>0.63500000000000045</c:v>
                </c:pt>
                <c:pt idx="128">
                  <c:v>0.64000000000000046</c:v>
                </c:pt>
                <c:pt idx="129">
                  <c:v>0.64500000000000046</c:v>
                </c:pt>
                <c:pt idx="130">
                  <c:v>0.65000000000000047</c:v>
                </c:pt>
                <c:pt idx="131">
                  <c:v>0.65500000000000047</c:v>
                </c:pt>
                <c:pt idx="132">
                  <c:v>0.66000000000000048</c:v>
                </c:pt>
                <c:pt idx="133">
                  <c:v>0.66500000000000048</c:v>
                </c:pt>
                <c:pt idx="134">
                  <c:v>0.67000000000000048</c:v>
                </c:pt>
                <c:pt idx="135">
                  <c:v>0.67500000000000049</c:v>
                </c:pt>
                <c:pt idx="136">
                  <c:v>0.68000000000000049</c:v>
                </c:pt>
                <c:pt idx="137">
                  <c:v>0.6850000000000005</c:v>
                </c:pt>
                <c:pt idx="138">
                  <c:v>0.6900000000000005</c:v>
                </c:pt>
                <c:pt idx="139">
                  <c:v>0.69500000000000051</c:v>
                </c:pt>
                <c:pt idx="140">
                  <c:v>0.70000000000000051</c:v>
                </c:pt>
                <c:pt idx="141">
                  <c:v>0.70500000000000052</c:v>
                </c:pt>
                <c:pt idx="142">
                  <c:v>0.71000000000000052</c:v>
                </c:pt>
                <c:pt idx="143">
                  <c:v>0.71500000000000052</c:v>
                </c:pt>
                <c:pt idx="144">
                  <c:v>0.72000000000000053</c:v>
                </c:pt>
                <c:pt idx="145">
                  <c:v>0.72500000000000053</c:v>
                </c:pt>
                <c:pt idx="146">
                  <c:v>0.73000000000000054</c:v>
                </c:pt>
                <c:pt idx="147">
                  <c:v>0.73500000000000054</c:v>
                </c:pt>
                <c:pt idx="148">
                  <c:v>0.74000000000000055</c:v>
                </c:pt>
                <c:pt idx="149">
                  <c:v>0.74500000000000055</c:v>
                </c:pt>
                <c:pt idx="150">
                  <c:v>0.75000000000000056</c:v>
                </c:pt>
                <c:pt idx="151">
                  <c:v>0.75500000000000056</c:v>
                </c:pt>
                <c:pt idx="152">
                  <c:v>0.76000000000000056</c:v>
                </c:pt>
                <c:pt idx="153">
                  <c:v>0.76500000000000057</c:v>
                </c:pt>
                <c:pt idx="154">
                  <c:v>0.77000000000000057</c:v>
                </c:pt>
                <c:pt idx="155">
                  <c:v>0.77500000000000058</c:v>
                </c:pt>
                <c:pt idx="156">
                  <c:v>0.78000000000000058</c:v>
                </c:pt>
                <c:pt idx="157">
                  <c:v>0.78500000000000059</c:v>
                </c:pt>
                <c:pt idx="158">
                  <c:v>0.79000000000000059</c:v>
                </c:pt>
                <c:pt idx="159">
                  <c:v>0.7950000000000006</c:v>
                </c:pt>
                <c:pt idx="160">
                  <c:v>0.8000000000000006</c:v>
                </c:pt>
                <c:pt idx="161">
                  <c:v>0.8050000000000006</c:v>
                </c:pt>
                <c:pt idx="162">
                  <c:v>0.81000000000000061</c:v>
                </c:pt>
                <c:pt idx="163">
                  <c:v>0.81500000000000061</c:v>
                </c:pt>
                <c:pt idx="164">
                  <c:v>0.82000000000000062</c:v>
                </c:pt>
                <c:pt idx="165">
                  <c:v>0.82500000000000062</c:v>
                </c:pt>
                <c:pt idx="166">
                  <c:v>0.83000000000000063</c:v>
                </c:pt>
                <c:pt idx="167">
                  <c:v>0.83500000000000063</c:v>
                </c:pt>
                <c:pt idx="168">
                  <c:v>0.84000000000000064</c:v>
                </c:pt>
                <c:pt idx="169">
                  <c:v>0.84500000000000064</c:v>
                </c:pt>
                <c:pt idx="170">
                  <c:v>0.85000000000000064</c:v>
                </c:pt>
                <c:pt idx="171">
                  <c:v>0.85500000000000065</c:v>
                </c:pt>
                <c:pt idx="172">
                  <c:v>0.86000000000000065</c:v>
                </c:pt>
                <c:pt idx="173">
                  <c:v>0.86500000000000066</c:v>
                </c:pt>
                <c:pt idx="174">
                  <c:v>0.87000000000000066</c:v>
                </c:pt>
                <c:pt idx="175">
                  <c:v>0.87500000000000067</c:v>
                </c:pt>
                <c:pt idx="176">
                  <c:v>0.88000000000000067</c:v>
                </c:pt>
                <c:pt idx="177">
                  <c:v>0.88500000000000068</c:v>
                </c:pt>
                <c:pt idx="178">
                  <c:v>0.89000000000000068</c:v>
                </c:pt>
                <c:pt idx="179">
                  <c:v>0.89500000000000068</c:v>
                </c:pt>
                <c:pt idx="180">
                  <c:v>0.90000000000000069</c:v>
                </c:pt>
                <c:pt idx="181">
                  <c:v>0.90500000000000069</c:v>
                </c:pt>
                <c:pt idx="182">
                  <c:v>0.9100000000000007</c:v>
                </c:pt>
                <c:pt idx="183">
                  <c:v>0.9150000000000007</c:v>
                </c:pt>
                <c:pt idx="184">
                  <c:v>0.92000000000000071</c:v>
                </c:pt>
                <c:pt idx="185">
                  <c:v>0.92500000000000071</c:v>
                </c:pt>
                <c:pt idx="186">
                  <c:v>0.93000000000000071</c:v>
                </c:pt>
                <c:pt idx="187">
                  <c:v>0.93500000000000072</c:v>
                </c:pt>
                <c:pt idx="188">
                  <c:v>0.94000000000000072</c:v>
                </c:pt>
                <c:pt idx="189">
                  <c:v>0.94500000000000073</c:v>
                </c:pt>
                <c:pt idx="190">
                  <c:v>0.95000000000000073</c:v>
                </c:pt>
                <c:pt idx="191">
                  <c:v>0.95500000000000074</c:v>
                </c:pt>
                <c:pt idx="192">
                  <c:v>0.96000000000000074</c:v>
                </c:pt>
                <c:pt idx="193">
                  <c:v>0.96500000000000075</c:v>
                </c:pt>
                <c:pt idx="194">
                  <c:v>0.97000000000000075</c:v>
                </c:pt>
                <c:pt idx="195">
                  <c:v>0.97500000000000075</c:v>
                </c:pt>
                <c:pt idx="196">
                  <c:v>0.98000000000000076</c:v>
                </c:pt>
                <c:pt idx="197">
                  <c:v>0.98500000000000076</c:v>
                </c:pt>
                <c:pt idx="198">
                  <c:v>0.99000000000000077</c:v>
                </c:pt>
                <c:pt idx="199">
                  <c:v>0.99500000000000077</c:v>
                </c:pt>
                <c:pt idx="200">
                  <c:v>1.0000000000000007</c:v>
                </c:pt>
                <c:pt idx="201">
                  <c:v>1.0050000000000006</c:v>
                </c:pt>
                <c:pt idx="202">
                  <c:v>1.0100000000000005</c:v>
                </c:pt>
                <c:pt idx="203">
                  <c:v>1.0150000000000003</c:v>
                </c:pt>
                <c:pt idx="204">
                  <c:v>1.0200000000000002</c:v>
                </c:pt>
                <c:pt idx="205">
                  <c:v>1.0250000000000001</c:v>
                </c:pt>
                <c:pt idx="206">
                  <c:v>1.03</c:v>
                </c:pt>
                <c:pt idx="207">
                  <c:v>1.0349999999999999</c:v>
                </c:pt>
                <c:pt idx="208">
                  <c:v>1.0399999999999998</c:v>
                </c:pt>
                <c:pt idx="209">
                  <c:v>1.0449999999999997</c:v>
                </c:pt>
                <c:pt idx="210">
                  <c:v>1.0499999999999996</c:v>
                </c:pt>
                <c:pt idx="211">
                  <c:v>1.0549999999999995</c:v>
                </c:pt>
                <c:pt idx="212">
                  <c:v>1.0599999999999994</c:v>
                </c:pt>
                <c:pt idx="213">
                  <c:v>1.0649999999999993</c:v>
                </c:pt>
                <c:pt idx="214">
                  <c:v>1.0699999999999992</c:v>
                </c:pt>
                <c:pt idx="215">
                  <c:v>1.0749999999999991</c:v>
                </c:pt>
                <c:pt idx="216">
                  <c:v>1.079999999999999</c:v>
                </c:pt>
                <c:pt idx="217">
                  <c:v>1.0849999999999989</c:v>
                </c:pt>
                <c:pt idx="218">
                  <c:v>1.0899999999999987</c:v>
                </c:pt>
                <c:pt idx="219">
                  <c:v>1.0949999999999986</c:v>
                </c:pt>
                <c:pt idx="220">
                  <c:v>1.0999999999999985</c:v>
                </c:pt>
              </c:numCache>
            </c:numRef>
          </c:xVal>
          <c:yVal>
            <c:numRef>
              <c:f>'Atterberg Limits'!$R$7:$R$227</c:f>
              <c:numCache>
                <c:formatCode>0.0\ %</c:formatCode>
                <c:ptCount val="22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  <c:pt idx="51">
                  <c:v>0.25500000000000012</c:v>
                </c:pt>
                <c:pt idx="52">
                  <c:v>0.26000000000000012</c:v>
                </c:pt>
                <c:pt idx="53">
                  <c:v>0.26500000000000012</c:v>
                </c:pt>
                <c:pt idx="54">
                  <c:v>0.27000000000000013</c:v>
                </c:pt>
                <c:pt idx="55">
                  <c:v>0.27500000000000013</c:v>
                </c:pt>
                <c:pt idx="56">
                  <c:v>0.28000000000000014</c:v>
                </c:pt>
                <c:pt idx="57">
                  <c:v>0.28500000000000014</c:v>
                </c:pt>
                <c:pt idx="58">
                  <c:v>0.29000000000000015</c:v>
                </c:pt>
                <c:pt idx="59">
                  <c:v>0.29500000000000015</c:v>
                </c:pt>
                <c:pt idx="60">
                  <c:v>0.30000000000000016</c:v>
                </c:pt>
                <c:pt idx="61">
                  <c:v>0.30500000000000016</c:v>
                </c:pt>
                <c:pt idx="62">
                  <c:v>0.31000000000000016</c:v>
                </c:pt>
                <c:pt idx="63">
                  <c:v>0.31500000000000017</c:v>
                </c:pt>
                <c:pt idx="64">
                  <c:v>0.32000000000000017</c:v>
                </c:pt>
                <c:pt idx="65">
                  <c:v>0.32500000000000018</c:v>
                </c:pt>
                <c:pt idx="66">
                  <c:v>0.33000000000000018</c:v>
                </c:pt>
                <c:pt idx="67">
                  <c:v>0.33500000000000019</c:v>
                </c:pt>
                <c:pt idx="68">
                  <c:v>0.34000000000000019</c:v>
                </c:pt>
                <c:pt idx="69">
                  <c:v>0.3450000000000002</c:v>
                </c:pt>
                <c:pt idx="70">
                  <c:v>0.3500000000000002</c:v>
                </c:pt>
                <c:pt idx="71">
                  <c:v>0.3550000000000002</c:v>
                </c:pt>
                <c:pt idx="72">
                  <c:v>0.36000000000000021</c:v>
                </c:pt>
                <c:pt idx="73">
                  <c:v>0.36500000000000021</c:v>
                </c:pt>
                <c:pt idx="74">
                  <c:v>0.37000000000000022</c:v>
                </c:pt>
                <c:pt idx="75">
                  <c:v>0.37500000000000022</c:v>
                </c:pt>
                <c:pt idx="76">
                  <c:v>0.38000000000000023</c:v>
                </c:pt>
                <c:pt idx="77">
                  <c:v>0.38500000000000023</c:v>
                </c:pt>
                <c:pt idx="78">
                  <c:v>0.39000000000000024</c:v>
                </c:pt>
                <c:pt idx="79">
                  <c:v>0.39500000000000024</c:v>
                </c:pt>
                <c:pt idx="80">
                  <c:v>0.40000000000000024</c:v>
                </c:pt>
                <c:pt idx="81">
                  <c:v>0.40500000000000025</c:v>
                </c:pt>
                <c:pt idx="82">
                  <c:v>0.41000000000000025</c:v>
                </c:pt>
                <c:pt idx="83">
                  <c:v>0.41500000000000026</c:v>
                </c:pt>
                <c:pt idx="84">
                  <c:v>0.42000000000000026</c:v>
                </c:pt>
                <c:pt idx="85">
                  <c:v>0.42500000000000027</c:v>
                </c:pt>
                <c:pt idx="86">
                  <c:v>0.43000000000000027</c:v>
                </c:pt>
                <c:pt idx="87">
                  <c:v>0.43500000000000028</c:v>
                </c:pt>
                <c:pt idx="88">
                  <c:v>0.44000000000000028</c:v>
                </c:pt>
                <c:pt idx="89">
                  <c:v>0.44500000000000028</c:v>
                </c:pt>
                <c:pt idx="90">
                  <c:v>0.45000000000000029</c:v>
                </c:pt>
                <c:pt idx="91">
                  <c:v>0.45500000000000029</c:v>
                </c:pt>
                <c:pt idx="92">
                  <c:v>0.4600000000000003</c:v>
                </c:pt>
                <c:pt idx="93">
                  <c:v>0.4650000000000003</c:v>
                </c:pt>
                <c:pt idx="94">
                  <c:v>0.47000000000000031</c:v>
                </c:pt>
                <c:pt idx="95">
                  <c:v>0.47500000000000031</c:v>
                </c:pt>
                <c:pt idx="96">
                  <c:v>0.48000000000000032</c:v>
                </c:pt>
                <c:pt idx="97">
                  <c:v>0.48500000000000032</c:v>
                </c:pt>
                <c:pt idx="98">
                  <c:v>0.49000000000000032</c:v>
                </c:pt>
                <c:pt idx="99">
                  <c:v>0.49500000000000033</c:v>
                </c:pt>
                <c:pt idx="100">
                  <c:v>0.50000000000000033</c:v>
                </c:pt>
                <c:pt idx="101">
                  <c:v>0.50500000000000034</c:v>
                </c:pt>
                <c:pt idx="102">
                  <c:v>0.51000000000000034</c:v>
                </c:pt>
                <c:pt idx="103">
                  <c:v>0.51500000000000035</c:v>
                </c:pt>
                <c:pt idx="104">
                  <c:v>0.52000000000000035</c:v>
                </c:pt>
                <c:pt idx="105">
                  <c:v>0.52500000000000036</c:v>
                </c:pt>
                <c:pt idx="106">
                  <c:v>0.53000000000000036</c:v>
                </c:pt>
                <c:pt idx="107">
                  <c:v>0.53500000000000036</c:v>
                </c:pt>
                <c:pt idx="108">
                  <c:v>0.54000000000000037</c:v>
                </c:pt>
                <c:pt idx="109">
                  <c:v>0.54500000000000037</c:v>
                </c:pt>
                <c:pt idx="110">
                  <c:v>0.55000000000000038</c:v>
                </c:pt>
                <c:pt idx="111">
                  <c:v>0.55500000000000038</c:v>
                </c:pt>
                <c:pt idx="112">
                  <c:v>0.56000000000000039</c:v>
                </c:pt>
                <c:pt idx="113">
                  <c:v>0.56500000000000039</c:v>
                </c:pt>
                <c:pt idx="114">
                  <c:v>0.5700000000000004</c:v>
                </c:pt>
                <c:pt idx="115">
                  <c:v>0.5750000000000004</c:v>
                </c:pt>
                <c:pt idx="116">
                  <c:v>0.5800000000000004</c:v>
                </c:pt>
                <c:pt idx="117">
                  <c:v>0.58500000000000041</c:v>
                </c:pt>
                <c:pt idx="118">
                  <c:v>0.59000000000000041</c:v>
                </c:pt>
                <c:pt idx="119">
                  <c:v>0.59500000000000042</c:v>
                </c:pt>
                <c:pt idx="120">
                  <c:v>0.60000000000000042</c:v>
                </c:pt>
                <c:pt idx="121">
                  <c:v>0.60500000000000043</c:v>
                </c:pt>
                <c:pt idx="122">
                  <c:v>0.61000000000000043</c:v>
                </c:pt>
                <c:pt idx="123">
                  <c:v>0.61500000000000044</c:v>
                </c:pt>
                <c:pt idx="124">
                  <c:v>0.62000000000000044</c:v>
                </c:pt>
                <c:pt idx="125">
                  <c:v>0.62500000000000044</c:v>
                </c:pt>
                <c:pt idx="126">
                  <c:v>0.63000000000000045</c:v>
                </c:pt>
                <c:pt idx="127">
                  <c:v>0.63500000000000045</c:v>
                </c:pt>
                <c:pt idx="128">
                  <c:v>0.64000000000000046</c:v>
                </c:pt>
                <c:pt idx="129">
                  <c:v>0.64500000000000046</c:v>
                </c:pt>
                <c:pt idx="130">
                  <c:v>0.65000000000000047</c:v>
                </c:pt>
                <c:pt idx="131">
                  <c:v>0.65500000000000047</c:v>
                </c:pt>
                <c:pt idx="132">
                  <c:v>0.66000000000000048</c:v>
                </c:pt>
                <c:pt idx="133">
                  <c:v>0.66500000000000048</c:v>
                </c:pt>
                <c:pt idx="134">
                  <c:v>0.67000000000000048</c:v>
                </c:pt>
                <c:pt idx="135">
                  <c:v>0.67500000000000049</c:v>
                </c:pt>
                <c:pt idx="136">
                  <c:v>0.68000000000000049</c:v>
                </c:pt>
                <c:pt idx="137">
                  <c:v>0.6850000000000005</c:v>
                </c:pt>
                <c:pt idx="138">
                  <c:v>0.6900000000000005</c:v>
                </c:pt>
                <c:pt idx="139">
                  <c:v>0.69500000000000051</c:v>
                </c:pt>
                <c:pt idx="140">
                  <c:v>0.70000000000000051</c:v>
                </c:pt>
                <c:pt idx="141">
                  <c:v>0.70500000000000052</c:v>
                </c:pt>
                <c:pt idx="142">
                  <c:v>0.71000000000000052</c:v>
                </c:pt>
                <c:pt idx="143">
                  <c:v>0.71500000000000052</c:v>
                </c:pt>
                <c:pt idx="144">
                  <c:v>0.72000000000000053</c:v>
                </c:pt>
                <c:pt idx="145">
                  <c:v>0.72500000000000053</c:v>
                </c:pt>
                <c:pt idx="146">
                  <c:v>0.73000000000000054</c:v>
                </c:pt>
                <c:pt idx="147">
                  <c:v>0.73500000000000054</c:v>
                </c:pt>
                <c:pt idx="148">
                  <c:v>0.74000000000000055</c:v>
                </c:pt>
                <c:pt idx="149">
                  <c:v>0.74500000000000055</c:v>
                </c:pt>
                <c:pt idx="150">
                  <c:v>0.75000000000000056</c:v>
                </c:pt>
                <c:pt idx="151">
                  <c:v>0.75500000000000056</c:v>
                </c:pt>
                <c:pt idx="152">
                  <c:v>0.76000000000000056</c:v>
                </c:pt>
                <c:pt idx="153">
                  <c:v>0.76500000000000057</c:v>
                </c:pt>
                <c:pt idx="154">
                  <c:v>0.77000000000000057</c:v>
                </c:pt>
                <c:pt idx="155">
                  <c:v>0.77500000000000058</c:v>
                </c:pt>
                <c:pt idx="156">
                  <c:v>0.78000000000000058</c:v>
                </c:pt>
                <c:pt idx="157">
                  <c:v>0.78500000000000059</c:v>
                </c:pt>
                <c:pt idx="158">
                  <c:v>0.79000000000000059</c:v>
                </c:pt>
                <c:pt idx="159">
                  <c:v>0.7950000000000006</c:v>
                </c:pt>
                <c:pt idx="160">
                  <c:v>0.8000000000000006</c:v>
                </c:pt>
                <c:pt idx="161">
                  <c:v>0.8050000000000006</c:v>
                </c:pt>
                <c:pt idx="162">
                  <c:v>0.81000000000000061</c:v>
                </c:pt>
                <c:pt idx="163">
                  <c:v>0.81500000000000061</c:v>
                </c:pt>
                <c:pt idx="164">
                  <c:v>0.82000000000000062</c:v>
                </c:pt>
                <c:pt idx="165">
                  <c:v>0.82500000000000062</c:v>
                </c:pt>
                <c:pt idx="166">
                  <c:v>0.83000000000000063</c:v>
                </c:pt>
                <c:pt idx="167">
                  <c:v>0.83500000000000063</c:v>
                </c:pt>
                <c:pt idx="168">
                  <c:v>0.84000000000000064</c:v>
                </c:pt>
                <c:pt idx="169">
                  <c:v>0.84500000000000064</c:v>
                </c:pt>
                <c:pt idx="170">
                  <c:v>0.85000000000000064</c:v>
                </c:pt>
                <c:pt idx="171">
                  <c:v>0.85500000000000065</c:v>
                </c:pt>
                <c:pt idx="172">
                  <c:v>0.86000000000000065</c:v>
                </c:pt>
                <c:pt idx="173">
                  <c:v>0.86500000000000066</c:v>
                </c:pt>
                <c:pt idx="174">
                  <c:v>0.87000000000000066</c:v>
                </c:pt>
                <c:pt idx="175">
                  <c:v>0.87500000000000067</c:v>
                </c:pt>
                <c:pt idx="176">
                  <c:v>0.88000000000000067</c:v>
                </c:pt>
                <c:pt idx="177">
                  <c:v>0.88500000000000068</c:v>
                </c:pt>
                <c:pt idx="178">
                  <c:v>0.89000000000000068</c:v>
                </c:pt>
                <c:pt idx="179">
                  <c:v>0.89500000000000068</c:v>
                </c:pt>
                <c:pt idx="180">
                  <c:v>0.90000000000000069</c:v>
                </c:pt>
                <c:pt idx="181">
                  <c:v>0.90500000000000069</c:v>
                </c:pt>
                <c:pt idx="182">
                  <c:v>0.9100000000000007</c:v>
                </c:pt>
                <c:pt idx="183">
                  <c:v>0.9150000000000007</c:v>
                </c:pt>
                <c:pt idx="184">
                  <c:v>0.92000000000000071</c:v>
                </c:pt>
                <c:pt idx="185">
                  <c:v>0.92500000000000071</c:v>
                </c:pt>
                <c:pt idx="186">
                  <c:v>0.93000000000000071</c:v>
                </c:pt>
                <c:pt idx="187">
                  <c:v>0.93500000000000072</c:v>
                </c:pt>
                <c:pt idx="188">
                  <c:v>0.94000000000000072</c:v>
                </c:pt>
                <c:pt idx="189">
                  <c:v>0.94500000000000073</c:v>
                </c:pt>
                <c:pt idx="190">
                  <c:v>0.95000000000000073</c:v>
                </c:pt>
                <c:pt idx="191">
                  <c:v>0.95500000000000074</c:v>
                </c:pt>
                <c:pt idx="192">
                  <c:v>0.96000000000000074</c:v>
                </c:pt>
                <c:pt idx="193">
                  <c:v>0.96500000000000075</c:v>
                </c:pt>
                <c:pt idx="194">
                  <c:v>0.97000000000000075</c:v>
                </c:pt>
                <c:pt idx="195">
                  <c:v>0.97500000000000075</c:v>
                </c:pt>
                <c:pt idx="196">
                  <c:v>0.98000000000000076</c:v>
                </c:pt>
                <c:pt idx="197">
                  <c:v>0.98500000000000076</c:v>
                </c:pt>
                <c:pt idx="198">
                  <c:v>0.99000000000000077</c:v>
                </c:pt>
                <c:pt idx="199">
                  <c:v>0.99500000000000077</c:v>
                </c:pt>
                <c:pt idx="200">
                  <c:v>1.0000000000000007</c:v>
                </c:pt>
                <c:pt idx="201">
                  <c:v>1.0050000000000006</c:v>
                </c:pt>
                <c:pt idx="202">
                  <c:v>1.0100000000000005</c:v>
                </c:pt>
                <c:pt idx="203">
                  <c:v>1.0150000000000003</c:v>
                </c:pt>
                <c:pt idx="204">
                  <c:v>1.0200000000000002</c:v>
                </c:pt>
                <c:pt idx="205">
                  <c:v>1.0250000000000001</c:v>
                </c:pt>
                <c:pt idx="206">
                  <c:v>1.03</c:v>
                </c:pt>
                <c:pt idx="207">
                  <c:v>1.0349999999999999</c:v>
                </c:pt>
                <c:pt idx="208">
                  <c:v>1.0399999999999998</c:v>
                </c:pt>
                <c:pt idx="209">
                  <c:v>1.0449999999999997</c:v>
                </c:pt>
                <c:pt idx="210">
                  <c:v>1.0499999999999996</c:v>
                </c:pt>
                <c:pt idx="211">
                  <c:v>1.0549999999999995</c:v>
                </c:pt>
                <c:pt idx="212">
                  <c:v>1.0599999999999994</c:v>
                </c:pt>
                <c:pt idx="213">
                  <c:v>1.0649999999999993</c:v>
                </c:pt>
                <c:pt idx="214">
                  <c:v>1.0699999999999992</c:v>
                </c:pt>
                <c:pt idx="215">
                  <c:v>1.0749999999999991</c:v>
                </c:pt>
                <c:pt idx="216">
                  <c:v>1.079999999999999</c:v>
                </c:pt>
                <c:pt idx="217">
                  <c:v>1.0849999999999989</c:v>
                </c:pt>
                <c:pt idx="218">
                  <c:v>1.0899999999999987</c:v>
                </c:pt>
                <c:pt idx="219">
                  <c:v>1.0949999999999986</c:v>
                </c:pt>
                <c:pt idx="220">
                  <c:v>1.0999999999999985</c:v>
                </c:pt>
              </c:numCache>
            </c:numRef>
          </c:yVal>
        </c:ser>
        <c:ser>
          <c:idx val="5"/>
          <c:order val="4"/>
          <c:tx>
            <c:v>PI=7 Line</c:v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'Atterberg Limits'!$M$7:$M$227</c:f>
              <c:numCache>
                <c:formatCode>0.0\ %</c:formatCode>
                <c:ptCount val="221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  <c:pt idx="15">
                  <c:v>7.4999999999999997E-2</c:v>
                </c:pt>
                <c:pt idx="16">
                  <c:v>0.08</c:v>
                </c:pt>
                <c:pt idx="17">
                  <c:v>8.5000000000000006E-2</c:v>
                </c:pt>
                <c:pt idx="18">
                  <c:v>9.0000000000000011E-2</c:v>
                </c:pt>
                <c:pt idx="19">
                  <c:v>9.5000000000000015E-2</c:v>
                </c:pt>
                <c:pt idx="20">
                  <c:v>0.10000000000000002</c:v>
                </c:pt>
                <c:pt idx="21">
                  <c:v>0.10500000000000002</c:v>
                </c:pt>
                <c:pt idx="22">
                  <c:v>0.11000000000000003</c:v>
                </c:pt>
                <c:pt idx="23">
                  <c:v>0.11500000000000003</c:v>
                </c:pt>
                <c:pt idx="24">
                  <c:v>0.12000000000000004</c:v>
                </c:pt>
                <c:pt idx="25">
                  <c:v>0.12500000000000003</c:v>
                </c:pt>
                <c:pt idx="26">
                  <c:v>0.13000000000000003</c:v>
                </c:pt>
                <c:pt idx="27">
                  <c:v>0.13500000000000004</c:v>
                </c:pt>
                <c:pt idx="28">
                  <c:v>0.14000000000000004</c:v>
                </c:pt>
                <c:pt idx="29">
                  <c:v>0.14500000000000005</c:v>
                </c:pt>
                <c:pt idx="30">
                  <c:v>0.15000000000000005</c:v>
                </c:pt>
                <c:pt idx="31">
                  <c:v>0.15500000000000005</c:v>
                </c:pt>
                <c:pt idx="32">
                  <c:v>0.16000000000000006</c:v>
                </c:pt>
                <c:pt idx="33">
                  <c:v>0.16500000000000006</c:v>
                </c:pt>
                <c:pt idx="34">
                  <c:v>0.17000000000000007</c:v>
                </c:pt>
                <c:pt idx="35">
                  <c:v>0.17500000000000007</c:v>
                </c:pt>
                <c:pt idx="36">
                  <c:v>0.18000000000000008</c:v>
                </c:pt>
                <c:pt idx="37">
                  <c:v>0.18500000000000008</c:v>
                </c:pt>
                <c:pt idx="38">
                  <c:v>0.19000000000000009</c:v>
                </c:pt>
                <c:pt idx="39">
                  <c:v>0.19500000000000009</c:v>
                </c:pt>
                <c:pt idx="40">
                  <c:v>0.20000000000000009</c:v>
                </c:pt>
                <c:pt idx="41">
                  <c:v>0.2050000000000001</c:v>
                </c:pt>
                <c:pt idx="42">
                  <c:v>0.2100000000000001</c:v>
                </c:pt>
                <c:pt idx="43">
                  <c:v>0.21500000000000011</c:v>
                </c:pt>
                <c:pt idx="44">
                  <c:v>0.22000000000000011</c:v>
                </c:pt>
                <c:pt idx="45">
                  <c:v>0.22500000000000012</c:v>
                </c:pt>
                <c:pt idx="46">
                  <c:v>0.23000000000000012</c:v>
                </c:pt>
                <c:pt idx="47">
                  <c:v>0.23500000000000013</c:v>
                </c:pt>
                <c:pt idx="48">
                  <c:v>0.24000000000000013</c:v>
                </c:pt>
                <c:pt idx="49">
                  <c:v>0.24500000000000013</c:v>
                </c:pt>
                <c:pt idx="50">
                  <c:v>0.25000000000000011</c:v>
                </c:pt>
                <c:pt idx="51">
                  <c:v>0.25500000000000012</c:v>
                </c:pt>
                <c:pt idx="52">
                  <c:v>0.26000000000000012</c:v>
                </c:pt>
                <c:pt idx="53">
                  <c:v>0.26500000000000012</c:v>
                </c:pt>
                <c:pt idx="54">
                  <c:v>0.27000000000000013</c:v>
                </c:pt>
                <c:pt idx="55">
                  <c:v>0.27500000000000013</c:v>
                </c:pt>
                <c:pt idx="56">
                  <c:v>0.28000000000000014</c:v>
                </c:pt>
                <c:pt idx="57">
                  <c:v>0.28500000000000014</c:v>
                </c:pt>
                <c:pt idx="58">
                  <c:v>0.29000000000000015</c:v>
                </c:pt>
                <c:pt idx="59">
                  <c:v>0.29500000000000015</c:v>
                </c:pt>
                <c:pt idx="60">
                  <c:v>0.30000000000000016</c:v>
                </c:pt>
                <c:pt idx="61">
                  <c:v>0.30500000000000016</c:v>
                </c:pt>
                <c:pt idx="62">
                  <c:v>0.31000000000000016</c:v>
                </c:pt>
                <c:pt idx="63">
                  <c:v>0.31500000000000017</c:v>
                </c:pt>
                <c:pt idx="64">
                  <c:v>0.32000000000000017</c:v>
                </c:pt>
                <c:pt idx="65">
                  <c:v>0.32500000000000018</c:v>
                </c:pt>
                <c:pt idx="66">
                  <c:v>0.33000000000000018</c:v>
                </c:pt>
                <c:pt idx="67">
                  <c:v>0.33500000000000019</c:v>
                </c:pt>
                <c:pt idx="68">
                  <c:v>0.34000000000000019</c:v>
                </c:pt>
                <c:pt idx="69">
                  <c:v>0.3450000000000002</c:v>
                </c:pt>
                <c:pt idx="70">
                  <c:v>0.3500000000000002</c:v>
                </c:pt>
                <c:pt idx="71">
                  <c:v>0.3550000000000002</c:v>
                </c:pt>
                <c:pt idx="72">
                  <c:v>0.36000000000000021</c:v>
                </c:pt>
                <c:pt idx="73">
                  <c:v>0.36500000000000021</c:v>
                </c:pt>
                <c:pt idx="74">
                  <c:v>0.37000000000000022</c:v>
                </c:pt>
                <c:pt idx="75">
                  <c:v>0.37500000000000022</c:v>
                </c:pt>
                <c:pt idx="76">
                  <c:v>0.38000000000000023</c:v>
                </c:pt>
                <c:pt idx="77">
                  <c:v>0.38500000000000023</c:v>
                </c:pt>
                <c:pt idx="78">
                  <c:v>0.39000000000000024</c:v>
                </c:pt>
                <c:pt idx="79">
                  <c:v>0.39500000000000024</c:v>
                </c:pt>
                <c:pt idx="80">
                  <c:v>0.40000000000000024</c:v>
                </c:pt>
                <c:pt idx="81">
                  <c:v>0.40500000000000025</c:v>
                </c:pt>
                <c:pt idx="82">
                  <c:v>0.41000000000000025</c:v>
                </c:pt>
                <c:pt idx="83">
                  <c:v>0.41500000000000026</c:v>
                </c:pt>
                <c:pt idx="84">
                  <c:v>0.42000000000000026</c:v>
                </c:pt>
                <c:pt idx="85">
                  <c:v>0.42500000000000027</c:v>
                </c:pt>
                <c:pt idx="86">
                  <c:v>0.43000000000000027</c:v>
                </c:pt>
                <c:pt idx="87">
                  <c:v>0.43500000000000028</c:v>
                </c:pt>
                <c:pt idx="88">
                  <c:v>0.44000000000000028</c:v>
                </c:pt>
                <c:pt idx="89">
                  <c:v>0.44500000000000028</c:v>
                </c:pt>
                <c:pt idx="90">
                  <c:v>0.45000000000000029</c:v>
                </c:pt>
                <c:pt idx="91">
                  <c:v>0.45500000000000029</c:v>
                </c:pt>
                <c:pt idx="92">
                  <c:v>0.4600000000000003</c:v>
                </c:pt>
                <c:pt idx="93">
                  <c:v>0.4650000000000003</c:v>
                </c:pt>
                <c:pt idx="94">
                  <c:v>0.47000000000000031</c:v>
                </c:pt>
                <c:pt idx="95">
                  <c:v>0.47500000000000031</c:v>
                </c:pt>
                <c:pt idx="96">
                  <c:v>0.48000000000000032</c:v>
                </c:pt>
                <c:pt idx="97">
                  <c:v>0.48500000000000032</c:v>
                </c:pt>
                <c:pt idx="98">
                  <c:v>0.49000000000000032</c:v>
                </c:pt>
                <c:pt idx="99">
                  <c:v>0.49500000000000033</c:v>
                </c:pt>
                <c:pt idx="100">
                  <c:v>0.50000000000000033</c:v>
                </c:pt>
                <c:pt idx="101">
                  <c:v>0.50500000000000034</c:v>
                </c:pt>
                <c:pt idx="102">
                  <c:v>0.51000000000000034</c:v>
                </c:pt>
                <c:pt idx="103">
                  <c:v>0.51500000000000035</c:v>
                </c:pt>
                <c:pt idx="104">
                  <c:v>0.52000000000000035</c:v>
                </c:pt>
                <c:pt idx="105">
                  <c:v>0.52500000000000036</c:v>
                </c:pt>
                <c:pt idx="106">
                  <c:v>0.53000000000000036</c:v>
                </c:pt>
                <c:pt idx="107">
                  <c:v>0.53500000000000036</c:v>
                </c:pt>
                <c:pt idx="108">
                  <c:v>0.54000000000000037</c:v>
                </c:pt>
                <c:pt idx="109">
                  <c:v>0.54500000000000037</c:v>
                </c:pt>
                <c:pt idx="110">
                  <c:v>0.55000000000000038</c:v>
                </c:pt>
                <c:pt idx="111">
                  <c:v>0.55500000000000038</c:v>
                </c:pt>
                <c:pt idx="112">
                  <c:v>0.56000000000000039</c:v>
                </c:pt>
                <c:pt idx="113">
                  <c:v>0.56500000000000039</c:v>
                </c:pt>
                <c:pt idx="114">
                  <c:v>0.5700000000000004</c:v>
                </c:pt>
                <c:pt idx="115">
                  <c:v>0.5750000000000004</c:v>
                </c:pt>
                <c:pt idx="116">
                  <c:v>0.5800000000000004</c:v>
                </c:pt>
                <c:pt idx="117">
                  <c:v>0.58500000000000041</c:v>
                </c:pt>
                <c:pt idx="118">
                  <c:v>0.59000000000000041</c:v>
                </c:pt>
                <c:pt idx="119">
                  <c:v>0.59500000000000042</c:v>
                </c:pt>
                <c:pt idx="120">
                  <c:v>0.60000000000000042</c:v>
                </c:pt>
                <c:pt idx="121">
                  <c:v>0.60500000000000043</c:v>
                </c:pt>
                <c:pt idx="122">
                  <c:v>0.61000000000000043</c:v>
                </c:pt>
                <c:pt idx="123">
                  <c:v>0.61500000000000044</c:v>
                </c:pt>
                <c:pt idx="124">
                  <c:v>0.62000000000000044</c:v>
                </c:pt>
                <c:pt idx="125">
                  <c:v>0.62500000000000044</c:v>
                </c:pt>
                <c:pt idx="126">
                  <c:v>0.63000000000000045</c:v>
                </c:pt>
                <c:pt idx="127">
                  <c:v>0.63500000000000045</c:v>
                </c:pt>
                <c:pt idx="128">
                  <c:v>0.64000000000000046</c:v>
                </c:pt>
                <c:pt idx="129">
                  <c:v>0.64500000000000046</c:v>
                </c:pt>
                <c:pt idx="130">
                  <c:v>0.65000000000000047</c:v>
                </c:pt>
                <c:pt idx="131">
                  <c:v>0.65500000000000047</c:v>
                </c:pt>
                <c:pt idx="132">
                  <c:v>0.66000000000000048</c:v>
                </c:pt>
                <c:pt idx="133">
                  <c:v>0.66500000000000048</c:v>
                </c:pt>
                <c:pt idx="134">
                  <c:v>0.67000000000000048</c:v>
                </c:pt>
                <c:pt idx="135">
                  <c:v>0.67500000000000049</c:v>
                </c:pt>
                <c:pt idx="136">
                  <c:v>0.68000000000000049</c:v>
                </c:pt>
                <c:pt idx="137">
                  <c:v>0.6850000000000005</c:v>
                </c:pt>
                <c:pt idx="138">
                  <c:v>0.6900000000000005</c:v>
                </c:pt>
                <c:pt idx="139">
                  <c:v>0.69500000000000051</c:v>
                </c:pt>
                <c:pt idx="140">
                  <c:v>0.70000000000000051</c:v>
                </c:pt>
                <c:pt idx="141">
                  <c:v>0.70500000000000052</c:v>
                </c:pt>
                <c:pt idx="142">
                  <c:v>0.71000000000000052</c:v>
                </c:pt>
                <c:pt idx="143">
                  <c:v>0.71500000000000052</c:v>
                </c:pt>
                <c:pt idx="144">
                  <c:v>0.72000000000000053</c:v>
                </c:pt>
                <c:pt idx="145">
                  <c:v>0.72500000000000053</c:v>
                </c:pt>
                <c:pt idx="146">
                  <c:v>0.73000000000000054</c:v>
                </c:pt>
                <c:pt idx="147">
                  <c:v>0.73500000000000054</c:v>
                </c:pt>
                <c:pt idx="148">
                  <c:v>0.74000000000000055</c:v>
                </c:pt>
                <c:pt idx="149">
                  <c:v>0.74500000000000055</c:v>
                </c:pt>
                <c:pt idx="150">
                  <c:v>0.75000000000000056</c:v>
                </c:pt>
                <c:pt idx="151">
                  <c:v>0.75500000000000056</c:v>
                </c:pt>
                <c:pt idx="152">
                  <c:v>0.76000000000000056</c:v>
                </c:pt>
                <c:pt idx="153">
                  <c:v>0.76500000000000057</c:v>
                </c:pt>
                <c:pt idx="154">
                  <c:v>0.77000000000000057</c:v>
                </c:pt>
                <c:pt idx="155">
                  <c:v>0.77500000000000058</c:v>
                </c:pt>
                <c:pt idx="156">
                  <c:v>0.78000000000000058</c:v>
                </c:pt>
                <c:pt idx="157">
                  <c:v>0.78500000000000059</c:v>
                </c:pt>
                <c:pt idx="158">
                  <c:v>0.79000000000000059</c:v>
                </c:pt>
                <c:pt idx="159">
                  <c:v>0.7950000000000006</c:v>
                </c:pt>
                <c:pt idx="160">
                  <c:v>0.8000000000000006</c:v>
                </c:pt>
                <c:pt idx="161">
                  <c:v>0.8050000000000006</c:v>
                </c:pt>
                <c:pt idx="162">
                  <c:v>0.81000000000000061</c:v>
                </c:pt>
                <c:pt idx="163">
                  <c:v>0.81500000000000061</c:v>
                </c:pt>
                <c:pt idx="164">
                  <c:v>0.82000000000000062</c:v>
                </c:pt>
                <c:pt idx="165">
                  <c:v>0.82500000000000062</c:v>
                </c:pt>
                <c:pt idx="166">
                  <c:v>0.83000000000000063</c:v>
                </c:pt>
                <c:pt idx="167">
                  <c:v>0.83500000000000063</c:v>
                </c:pt>
                <c:pt idx="168">
                  <c:v>0.84000000000000064</c:v>
                </c:pt>
                <c:pt idx="169">
                  <c:v>0.84500000000000064</c:v>
                </c:pt>
                <c:pt idx="170">
                  <c:v>0.85000000000000064</c:v>
                </c:pt>
                <c:pt idx="171">
                  <c:v>0.85500000000000065</c:v>
                </c:pt>
                <c:pt idx="172">
                  <c:v>0.86000000000000065</c:v>
                </c:pt>
                <c:pt idx="173">
                  <c:v>0.86500000000000066</c:v>
                </c:pt>
                <c:pt idx="174">
                  <c:v>0.87000000000000066</c:v>
                </c:pt>
                <c:pt idx="175">
                  <c:v>0.87500000000000067</c:v>
                </c:pt>
                <c:pt idx="176">
                  <c:v>0.88000000000000067</c:v>
                </c:pt>
                <c:pt idx="177">
                  <c:v>0.88500000000000068</c:v>
                </c:pt>
                <c:pt idx="178">
                  <c:v>0.89000000000000068</c:v>
                </c:pt>
                <c:pt idx="179">
                  <c:v>0.89500000000000068</c:v>
                </c:pt>
                <c:pt idx="180">
                  <c:v>0.90000000000000069</c:v>
                </c:pt>
                <c:pt idx="181">
                  <c:v>0.90500000000000069</c:v>
                </c:pt>
                <c:pt idx="182">
                  <c:v>0.9100000000000007</c:v>
                </c:pt>
                <c:pt idx="183">
                  <c:v>0.9150000000000007</c:v>
                </c:pt>
                <c:pt idx="184">
                  <c:v>0.92000000000000071</c:v>
                </c:pt>
                <c:pt idx="185">
                  <c:v>0.92500000000000071</c:v>
                </c:pt>
                <c:pt idx="186">
                  <c:v>0.93000000000000071</c:v>
                </c:pt>
                <c:pt idx="187">
                  <c:v>0.93500000000000072</c:v>
                </c:pt>
                <c:pt idx="188">
                  <c:v>0.94000000000000072</c:v>
                </c:pt>
                <c:pt idx="189">
                  <c:v>0.94500000000000073</c:v>
                </c:pt>
                <c:pt idx="190">
                  <c:v>0.95000000000000073</c:v>
                </c:pt>
                <c:pt idx="191">
                  <c:v>0.95500000000000074</c:v>
                </c:pt>
                <c:pt idx="192">
                  <c:v>0.96000000000000074</c:v>
                </c:pt>
                <c:pt idx="193">
                  <c:v>0.96500000000000075</c:v>
                </c:pt>
                <c:pt idx="194">
                  <c:v>0.97000000000000075</c:v>
                </c:pt>
                <c:pt idx="195">
                  <c:v>0.97500000000000075</c:v>
                </c:pt>
                <c:pt idx="196">
                  <c:v>0.98000000000000076</c:v>
                </c:pt>
                <c:pt idx="197">
                  <c:v>0.98500000000000076</c:v>
                </c:pt>
                <c:pt idx="198">
                  <c:v>0.99000000000000077</c:v>
                </c:pt>
                <c:pt idx="199">
                  <c:v>0.99500000000000077</c:v>
                </c:pt>
                <c:pt idx="200">
                  <c:v>1.0000000000000007</c:v>
                </c:pt>
                <c:pt idx="201">
                  <c:v>1.0050000000000006</c:v>
                </c:pt>
                <c:pt idx="202">
                  <c:v>1.0100000000000005</c:v>
                </c:pt>
                <c:pt idx="203">
                  <c:v>1.0150000000000003</c:v>
                </c:pt>
                <c:pt idx="204">
                  <c:v>1.0200000000000002</c:v>
                </c:pt>
                <c:pt idx="205">
                  <c:v>1.0250000000000001</c:v>
                </c:pt>
                <c:pt idx="206">
                  <c:v>1.03</c:v>
                </c:pt>
                <c:pt idx="207">
                  <c:v>1.0349999999999999</c:v>
                </c:pt>
                <c:pt idx="208">
                  <c:v>1.0399999999999998</c:v>
                </c:pt>
                <c:pt idx="209">
                  <c:v>1.0449999999999997</c:v>
                </c:pt>
                <c:pt idx="210">
                  <c:v>1.0499999999999996</c:v>
                </c:pt>
                <c:pt idx="211">
                  <c:v>1.0549999999999995</c:v>
                </c:pt>
                <c:pt idx="212">
                  <c:v>1.0599999999999994</c:v>
                </c:pt>
                <c:pt idx="213">
                  <c:v>1.0649999999999993</c:v>
                </c:pt>
                <c:pt idx="214">
                  <c:v>1.0699999999999992</c:v>
                </c:pt>
                <c:pt idx="215">
                  <c:v>1.0749999999999991</c:v>
                </c:pt>
                <c:pt idx="216">
                  <c:v>1.079999999999999</c:v>
                </c:pt>
                <c:pt idx="217">
                  <c:v>1.0849999999999989</c:v>
                </c:pt>
                <c:pt idx="218">
                  <c:v>1.0899999999999987</c:v>
                </c:pt>
                <c:pt idx="219">
                  <c:v>1.0949999999999986</c:v>
                </c:pt>
                <c:pt idx="220">
                  <c:v>1.0999999999999985</c:v>
                </c:pt>
              </c:numCache>
            </c:numRef>
          </c:xVal>
          <c:yVal>
            <c:numRef>
              <c:f>'Atterberg Limits'!$N$7:$N$66</c:f>
              <c:numCache>
                <c:formatCode>0.0\ %</c:formatCode>
                <c:ptCount val="60"/>
                <c:pt idx="0">
                  <c:v>7.0000000000000007E-2</c:v>
                </c:pt>
                <c:pt idx="1">
                  <c:v>7.0000000000000007E-2</c:v>
                </c:pt>
                <c:pt idx="2">
                  <c:v>7.0000000000000007E-2</c:v>
                </c:pt>
                <c:pt idx="3">
                  <c:v>7.0000000000000007E-2</c:v>
                </c:pt>
                <c:pt idx="4">
                  <c:v>7.0000000000000007E-2</c:v>
                </c:pt>
                <c:pt idx="5">
                  <c:v>7.0000000000000007E-2</c:v>
                </c:pt>
                <c:pt idx="6">
                  <c:v>7.0000000000000007E-2</c:v>
                </c:pt>
                <c:pt idx="7">
                  <c:v>7.0000000000000007E-2</c:v>
                </c:pt>
                <c:pt idx="8">
                  <c:v>7.0000000000000007E-2</c:v>
                </c:pt>
                <c:pt idx="9">
                  <c:v>7.0000000000000007E-2</c:v>
                </c:pt>
                <c:pt idx="10">
                  <c:v>7.0000000000000007E-2</c:v>
                </c:pt>
                <c:pt idx="11">
                  <c:v>7.0000000000000007E-2</c:v>
                </c:pt>
                <c:pt idx="12">
                  <c:v>7.0000000000000007E-2</c:v>
                </c:pt>
                <c:pt idx="13">
                  <c:v>7.0000000000000007E-2</c:v>
                </c:pt>
                <c:pt idx="14">
                  <c:v>7.0000000000000007E-2</c:v>
                </c:pt>
                <c:pt idx="15">
                  <c:v>7.0000000000000007E-2</c:v>
                </c:pt>
                <c:pt idx="16">
                  <c:v>7.0000000000000007E-2</c:v>
                </c:pt>
                <c:pt idx="17">
                  <c:v>7.0000000000000007E-2</c:v>
                </c:pt>
                <c:pt idx="18">
                  <c:v>7.0000000000000007E-2</c:v>
                </c:pt>
                <c:pt idx="19">
                  <c:v>7.0000000000000007E-2</c:v>
                </c:pt>
                <c:pt idx="20">
                  <c:v>7.0000000000000007E-2</c:v>
                </c:pt>
                <c:pt idx="21">
                  <c:v>7.0000000000000007E-2</c:v>
                </c:pt>
                <c:pt idx="22">
                  <c:v>7.0000000000000007E-2</c:v>
                </c:pt>
                <c:pt idx="23">
                  <c:v>7.0000000000000007E-2</c:v>
                </c:pt>
                <c:pt idx="24">
                  <c:v>7.0000000000000007E-2</c:v>
                </c:pt>
                <c:pt idx="25">
                  <c:v>7.0000000000000007E-2</c:v>
                </c:pt>
                <c:pt idx="26">
                  <c:v>7.0000000000000007E-2</c:v>
                </c:pt>
                <c:pt idx="27">
                  <c:v>7.0000000000000007E-2</c:v>
                </c:pt>
                <c:pt idx="28">
                  <c:v>7.0000000000000007E-2</c:v>
                </c:pt>
                <c:pt idx="29">
                  <c:v>7.0000000000000007E-2</c:v>
                </c:pt>
                <c:pt idx="30">
                  <c:v>7.0000000000000007E-2</c:v>
                </c:pt>
                <c:pt idx="31">
                  <c:v>7.0000000000000007E-2</c:v>
                </c:pt>
                <c:pt idx="32">
                  <c:v>7.0000000000000007E-2</c:v>
                </c:pt>
                <c:pt idx="33">
                  <c:v>7.0000000000000007E-2</c:v>
                </c:pt>
                <c:pt idx="34">
                  <c:v>7.0000000000000007E-2</c:v>
                </c:pt>
                <c:pt idx="35">
                  <c:v>7.0000000000000007E-2</c:v>
                </c:pt>
                <c:pt idx="36">
                  <c:v>7.0000000000000007E-2</c:v>
                </c:pt>
                <c:pt idx="37">
                  <c:v>7.0000000000000007E-2</c:v>
                </c:pt>
                <c:pt idx="38">
                  <c:v>7.0000000000000007E-2</c:v>
                </c:pt>
                <c:pt idx="39">
                  <c:v>7.0000000000000007E-2</c:v>
                </c:pt>
                <c:pt idx="40">
                  <c:v>7.0000000000000007E-2</c:v>
                </c:pt>
                <c:pt idx="41">
                  <c:v>7.0000000000000007E-2</c:v>
                </c:pt>
                <c:pt idx="42">
                  <c:v>7.0000000000000007E-2</c:v>
                </c:pt>
                <c:pt idx="43">
                  <c:v>7.0000000000000007E-2</c:v>
                </c:pt>
                <c:pt idx="44">
                  <c:v>7.0000000000000007E-2</c:v>
                </c:pt>
                <c:pt idx="45">
                  <c:v>7.0000000000000007E-2</c:v>
                </c:pt>
                <c:pt idx="46">
                  <c:v>7.0000000000000007E-2</c:v>
                </c:pt>
                <c:pt idx="47">
                  <c:v>7.0000000000000007E-2</c:v>
                </c:pt>
                <c:pt idx="48">
                  <c:v>7.0000000000000007E-2</c:v>
                </c:pt>
                <c:pt idx="49">
                  <c:v>7.0000000000000007E-2</c:v>
                </c:pt>
                <c:pt idx="50">
                  <c:v>7.0000000000000007E-2</c:v>
                </c:pt>
                <c:pt idx="51">
                  <c:v>7.0000000000000007E-2</c:v>
                </c:pt>
                <c:pt idx="52">
                  <c:v>7.0000000000000007E-2</c:v>
                </c:pt>
                <c:pt idx="53">
                  <c:v>7.0000000000000007E-2</c:v>
                </c:pt>
                <c:pt idx="54">
                  <c:v>7.0000000000000007E-2</c:v>
                </c:pt>
                <c:pt idx="55">
                  <c:v>7.0000000000000007E-2</c:v>
                </c:pt>
                <c:pt idx="56">
                  <c:v>7.0000000000000007E-2</c:v>
                </c:pt>
                <c:pt idx="57">
                  <c:v>7.0000000000000007E-2</c:v>
                </c:pt>
                <c:pt idx="58">
                  <c:v>7.0000000000000007E-2</c:v>
                </c:pt>
                <c:pt idx="59">
                  <c:v>7.0000000000000007E-2</c:v>
                </c:pt>
              </c:numCache>
            </c:numRef>
          </c:yVal>
        </c:ser>
        <c:ser>
          <c:idx val="0"/>
          <c:order val="5"/>
          <c:tx>
            <c:v>Vertical U-Line</c:v>
          </c:tx>
          <c:spPr>
            <a:ln w="3175">
              <a:solidFill>
                <a:srgbClr val="003366"/>
              </a:solidFill>
              <a:prstDash val="sysDash"/>
            </a:ln>
          </c:spPr>
          <c:marker>
            <c:symbol val="none"/>
          </c:marker>
          <c:dLbls>
            <c:dLbl>
              <c:idx val="6"/>
              <c:layout>
                <c:manualLayout>
                  <c:xMode val="edge"/>
                  <c:yMode val="edge"/>
                  <c:x val="0.20940819423368739"/>
                  <c:y val="0.80140186915887845"/>
                </c:manualLayout>
              </c:layout>
              <c:tx>
                <c:rich>
                  <a:bodyPr/>
                  <a:lstStyle/>
                  <a:p>
                    <a:pPr>
                      <a:defRPr sz="800" b="0" i="0" u="none" strike="noStrike" baseline="0">
                        <a:solidFill>
                          <a:srgbClr val="000000"/>
                        </a:solidFill>
                        <a:latin typeface="Futura"/>
                        <a:ea typeface="Futura"/>
                        <a:cs typeface="Futura"/>
                      </a:defRPr>
                    </a:pPr>
                    <a:r>
                      <a:t>CL-ML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elete val="1"/>
          </c:dLbls>
          <c:xVal>
            <c:numRef>
              <c:f>'Atterberg Limits'!$P$7:$P$21</c:f>
              <c:numCache>
                <c:formatCode>0.0\ %</c:formatCode>
                <c:ptCount val="15"/>
                <c:pt idx="0">
                  <c:v>0.16</c:v>
                </c:pt>
                <c:pt idx="1">
                  <c:v>0.16</c:v>
                </c:pt>
                <c:pt idx="2">
                  <c:v>0.16</c:v>
                </c:pt>
                <c:pt idx="3">
                  <c:v>0.16</c:v>
                </c:pt>
                <c:pt idx="4">
                  <c:v>0.16</c:v>
                </c:pt>
                <c:pt idx="5">
                  <c:v>0.16</c:v>
                </c:pt>
                <c:pt idx="6">
                  <c:v>0.16</c:v>
                </c:pt>
                <c:pt idx="7">
                  <c:v>0.16</c:v>
                </c:pt>
                <c:pt idx="8">
                  <c:v>0.16</c:v>
                </c:pt>
                <c:pt idx="9">
                  <c:v>0.16</c:v>
                </c:pt>
                <c:pt idx="10">
                  <c:v>0.16</c:v>
                </c:pt>
                <c:pt idx="11">
                  <c:v>0.16</c:v>
                </c:pt>
                <c:pt idx="12">
                  <c:v>0.16</c:v>
                </c:pt>
                <c:pt idx="13">
                  <c:v>0.16</c:v>
                </c:pt>
                <c:pt idx="14">
                  <c:v>0.16</c:v>
                </c:pt>
              </c:numCache>
            </c:numRef>
          </c:xVal>
          <c:yVal>
            <c:numRef>
              <c:f>'Atterberg Limits'!$M$7:$M$21</c:f>
              <c:numCache>
                <c:formatCode>0.0\ %</c:formatCode>
                <c:ptCount val="15"/>
                <c:pt idx="0">
                  <c:v>0</c:v>
                </c:pt>
                <c:pt idx="1">
                  <c:v>5.0000000000000001E-3</c:v>
                </c:pt>
                <c:pt idx="2">
                  <c:v>0.01</c:v>
                </c:pt>
                <c:pt idx="3">
                  <c:v>1.4999999999999999E-2</c:v>
                </c:pt>
                <c:pt idx="4">
                  <c:v>0.02</c:v>
                </c:pt>
                <c:pt idx="5">
                  <c:v>2.5000000000000001E-2</c:v>
                </c:pt>
                <c:pt idx="6">
                  <c:v>3.0000000000000002E-2</c:v>
                </c:pt>
                <c:pt idx="7">
                  <c:v>3.5000000000000003E-2</c:v>
                </c:pt>
                <c:pt idx="8">
                  <c:v>0.04</c:v>
                </c:pt>
                <c:pt idx="9">
                  <c:v>4.4999999999999998E-2</c:v>
                </c:pt>
                <c:pt idx="10">
                  <c:v>4.9999999999999996E-2</c:v>
                </c:pt>
                <c:pt idx="11">
                  <c:v>5.4999999999999993E-2</c:v>
                </c:pt>
                <c:pt idx="12">
                  <c:v>5.9999999999999991E-2</c:v>
                </c:pt>
                <c:pt idx="13">
                  <c:v>6.4999999999999988E-2</c:v>
                </c:pt>
                <c:pt idx="14">
                  <c:v>6.9999999999999993E-2</c:v>
                </c:pt>
              </c:numCache>
            </c:numRef>
          </c:yVal>
        </c:ser>
        <c:ser>
          <c:idx val="6"/>
          <c:order val="6"/>
          <c:tx>
            <c:v>U Line</c:v>
          </c:tx>
          <c:spPr>
            <a:ln w="3175">
              <a:solidFill>
                <a:srgbClr val="003366"/>
              </a:solidFill>
              <a:prstDash val="sysDash"/>
            </a:ln>
          </c:spPr>
          <c:marker>
            <c:symbol val="none"/>
          </c:marker>
          <c:dLbls>
            <c:dLbl>
              <c:idx val="30"/>
              <c:layout>
                <c:manualLayout>
                  <c:xMode val="edge"/>
                  <c:yMode val="edge"/>
                  <c:x val="0.34597875569044007"/>
                  <c:y val="0.68691588785046731"/>
                </c:manualLayout>
              </c:layout>
              <c:tx>
                <c:rich>
                  <a:bodyPr/>
                  <a:lstStyle/>
                  <a:p>
                    <a:pPr>
                      <a:defRPr sz="800" b="0" i="0" u="none" strike="noStrike" baseline="0">
                        <a:solidFill>
                          <a:srgbClr val="000000"/>
                        </a:solidFill>
                        <a:latin typeface="Futura"/>
                        <a:ea typeface="Futura"/>
                        <a:cs typeface="Futura"/>
                      </a:defRPr>
                    </a:pPr>
                    <a:r>
                      <a:t>CL or OL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Lbl>
              <c:idx val="90"/>
              <c:layout>
                <c:manualLayout>
                  <c:xMode val="edge"/>
                  <c:yMode val="edge"/>
                  <c:x val="0.57359635811836118"/>
                  <c:y val="0.44392523364485981"/>
                </c:manualLayout>
              </c:layout>
              <c:tx>
                <c:rich>
                  <a:bodyPr/>
                  <a:lstStyle/>
                  <a:p>
                    <a:pPr>
                      <a:defRPr sz="800" b="0" i="0" u="none" strike="noStrike" baseline="0">
                        <a:solidFill>
                          <a:srgbClr val="000000"/>
                        </a:solidFill>
                        <a:latin typeface="Futura"/>
                        <a:ea typeface="Futura"/>
                        <a:cs typeface="Futura"/>
                      </a:defRPr>
                    </a:pPr>
                    <a:r>
                      <a:t>CH or OH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Lbl>
              <c:idx val="112"/>
              <c:layout>
                <c:manualLayout>
                  <c:xMode val="edge"/>
                  <c:yMode val="edge"/>
                  <c:x val="0.62974203338391499"/>
                  <c:y val="0.27336448598130841"/>
                </c:manualLayout>
              </c:layout>
              <c:tx>
                <c:rich>
                  <a:bodyPr/>
                  <a:lstStyle/>
                  <a:p>
                    <a:pPr>
                      <a:defRPr sz="900" b="0" i="0" u="none" strike="noStrike" baseline="0">
                        <a:solidFill>
                          <a:srgbClr val="000000"/>
                        </a:solidFill>
                        <a:latin typeface="Futura"/>
                        <a:ea typeface="Futura"/>
                        <a:cs typeface="Futura"/>
                      </a:defRPr>
                    </a:pPr>
                    <a:r>
                      <a:t>"U" Line</a:t>
                    </a:r>
                  </a:p>
                </c:rich>
              </c:tx>
              <c:spPr>
                <a:noFill/>
                <a:ln w="25400">
                  <a:noFill/>
                </a:ln>
              </c:spPr>
              <c:dLblPos val="r"/>
            </c:dLbl>
            <c:delete val="1"/>
          </c:dLbls>
          <c:xVal>
            <c:numRef>
              <c:f>'Atterberg Limits'!$M$40:$M$227</c:f>
              <c:numCache>
                <c:formatCode>0.0\ %</c:formatCode>
                <c:ptCount val="188"/>
                <c:pt idx="0">
                  <c:v>0.16500000000000006</c:v>
                </c:pt>
                <c:pt idx="1">
                  <c:v>0.17000000000000007</c:v>
                </c:pt>
                <c:pt idx="2">
                  <c:v>0.17500000000000007</c:v>
                </c:pt>
                <c:pt idx="3">
                  <c:v>0.18000000000000008</c:v>
                </c:pt>
                <c:pt idx="4">
                  <c:v>0.18500000000000008</c:v>
                </c:pt>
                <c:pt idx="5">
                  <c:v>0.19000000000000009</c:v>
                </c:pt>
                <c:pt idx="6">
                  <c:v>0.19500000000000009</c:v>
                </c:pt>
                <c:pt idx="7">
                  <c:v>0.20000000000000009</c:v>
                </c:pt>
                <c:pt idx="8">
                  <c:v>0.2050000000000001</c:v>
                </c:pt>
                <c:pt idx="9">
                  <c:v>0.2100000000000001</c:v>
                </c:pt>
                <c:pt idx="10">
                  <c:v>0.21500000000000011</c:v>
                </c:pt>
                <c:pt idx="11">
                  <c:v>0.22000000000000011</c:v>
                </c:pt>
                <c:pt idx="12">
                  <c:v>0.22500000000000012</c:v>
                </c:pt>
                <c:pt idx="13">
                  <c:v>0.23000000000000012</c:v>
                </c:pt>
                <c:pt idx="14">
                  <c:v>0.23500000000000013</c:v>
                </c:pt>
                <c:pt idx="15">
                  <c:v>0.24000000000000013</c:v>
                </c:pt>
                <c:pt idx="16">
                  <c:v>0.24500000000000013</c:v>
                </c:pt>
                <c:pt idx="17">
                  <c:v>0.25000000000000011</c:v>
                </c:pt>
                <c:pt idx="18">
                  <c:v>0.25500000000000012</c:v>
                </c:pt>
                <c:pt idx="19">
                  <c:v>0.26000000000000012</c:v>
                </c:pt>
                <c:pt idx="20">
                  <c:v>0.26500000000000012</c:v>
                </c:pt>
                <c:pt idx="21">
                  <c:v>0.27000000000000013</c:v>
                </c:pt>
                <c:pt idx="22">
                  <c:v>0.27500000000000013</c:v>
                </c:pt>
                <c:pt idx="23">
                  <c:v>0.28000000000000014</c:v>
                </c:pt>
                <c:pt idx="24">
                  <c:v>0.28500000000000014</c:v>
                </c:pt>
                <c:pt idx="25">
                  <c:v>0.29000000000000015</c:v>
                </c:pt>
                <c:pt idx="26">
                  <c:v>0.29500000000000015</c:v>
                </c:pt>
                <c:pt idx="27">
                  <c:v>0.30000000000000016</c:v>
                </c:pt>
                <c:pt idx="28">
                  <c:v>0.30500000000000016</c:v>
                </c:pt>
                <c:pt idx="29">
                  <c:v>0.31000000000000016</c:v>
                </c:pt>
                <c:pt idx="30">
                  <c:v>0.31500000000000017</c:v>
                </c:pt>
                <c:pt idx="31">
                  <c:v>0.32000000000000017</c:v>
                </c:pt>
                <c:pt idx="32">
                  <c:v>0.32500000000000018</c:v>
                </c:pt>
                <c:pt idx="33">
                  <c:v>0.33000000000000018</c:v>
                </c:pt>
                <c:pt idx="34">
                  <c:v>0.33500000000000019</c:v>
                </c:pt>
                <c:pt idx="35">
                  <c:v>0.34000000000000019</c:v>
                </c:pt>
                <c:pt idx="36">
                  <c:v>0.3450000000000002</c:v>
                </c:pt>
                <c:pt idx="37">
                  <c:v>0.3500000000000002</c:v>
                </c:pt>
                <c:pt idx="38">
                  <c:v>0.3550000000000002</c:v>
                </c:pt>
                <c:pt idx="39">
                  <c:v>0.36000000000000021</c:v>
                </c:pt>
                <c:pt idx="40">
                  <c:v>0.36500000000000021</c:v>
                </c:pt>
                <c:pt idx="41">
                  <c:v>0.37000000000000022</c:v>
                </c:pt>
                <c:pt idx="42">
                  <c:v>0.37500000000000022</c:v>
                </c:pt>
                <c:pt idx="43">
                  <c:v>0.38000000000000023</c:v>
                </c:pt>
                <c:pt idx="44">
                  <c:v>0.38500000000000023</c:v>
                </c:pt>
                <c:pt idx="45">
                  <c:v>0.39000000000000024</c:v>
                </c:pt>
                <c:pt idx="46">
                  <c:v>0.39500000000000024</c:v>
                </c:pt>
                <c:pt idx="47">
                  <c:v>0.40000000000000024</c:v>
                </c:pt>
                <c:pt idx="48">
                  <c:v>0.40500000000000025</c:v>
                </c:pt>
                <c:pt idx="49">
                  <c:v>0.41000000000000025</c:v>
                </c:pt>
                <c:pt idx="50">
                  <c:v>0.41500000000000026</c:v>
                </c:pt>
                <c:pt idx="51">
                  <c:v>0.42000000000000026</c:v>
                </c:pt>
                <c:pt idx="52">
                  <c:v>0.42500000000000027</c:v>
                </c:pt>
                <c:pt idx="53">
                  <c:v>0.43000000000000027</c:v>
                </c:pt>
                <c:pt idx="54">
                  <c:v>0.43500000000000028</c:v>
                </c:pt>
                <c:pt idx="55">
                  <c:v>0.44000000000000028</c:v>
                </c:pt>
                <c:pt idx="56">
                  <c:v>0.44500000000000028</c:v>
                </c:pt>
                <c:pt idx="57">
                  <c:v>0.45000000000000029</c:v>
                </c:pt>
                <c:pt idx="58">
                  <c:v>0.45500000000000029</c:v>
                </c:pt>
                <c:pt idx="59">
                  <c:v>0.4600000000000003</c:v>
                </c:pt>
                <c:pt idx="60">
                  <c:v>0.4650000000000003</c:v>
                </c:pt>
                <c:pt idx="61">
                  <c:v>0.47000000000000031</c:v>
                </c:pt>
                <c:pt idx="62">
                  <c:v>0.47500000000000031</c:v>
                </c:pt>
                <c:pt idx="63">
                  <c:v>0.48000000000000032</c:v>
                </c:pt>
                <c:pt idx="64">
                  <c:v>0.48500000000000032</c:v>
                </c:pt>
                <c:pt idx="65">
                  <c:v>0.49000000000000032</c:v>
                </c:pt>
                <c:pt idx="66">
                  <c:v>0.49500000000000033</c:v>
                </c:pt>
                <c:pt idx="67">
                  <c:v>0.50000000000000033</c:v>
                </c:pt>
                <c:pt idx="68">
                  <c:v>0.50500000000000034</c:v>
                </c:pt>
                <c:pt idx="69">
                  <c:v>0.51000000000000034</c:v>
                </c:pt>
                <c:pt idx="70">
                  <c:v>0.51500000000000035</c:v>
                </c:pt>
                <c:pt idx="71">
                  <c:v>0.52000000000000035</c:v>
                </c:pt>
                <c:pt idx="72">
                  <c:v>0.52500000000000036</c:v>
                </c:pt>
                <c:pt idx="73">
                  <c:v>0.53000000000000036</c:v>
                </c:pt>
                <c:pt idx="74">
                  <c:v>0.53500000000000036</c:v>
                </c:pt>
                <c:pt idx="75">
                  <c:v>0.54000000000000037</c:v>
                </c:pt>
                <c:pt idx="76">
                  <c:v>0.54500000000000037</c:v>
                </c:pt>
                <c:pt idx="77">
                  <c:v>0.55000000000000038</c:v>
                </c:pt>
                <c:pt idx="78">
                  <c:v>0.55500000000000038</c:v>
                </c:pt>
                <c:pt idx="79">
                  <c:v>0.56000000000000039</c:v>
                </c:pt>
                <c:pt idx="80">
                  <c:v>0.56500000000000039</c:v>
                </c:pt>
                <c:pt idx="81">
                  <c:v>0.5700000000000004</c:v>
                </c:pt>
                <c:pt idx="82">
                  <c:v>0.5750000000000004</c:v>
                </c:pt>
                <c:pt idx="83">
                  <c:v>0.5800000000000004</c:v>
                </c:pt>
                <c:pt idx="84">
                  <c:v>0.58500000000000041</c:v>
                </c:pt>
                <c:pt idx="85">
                  <c:v>0.59000000000000041</c:v>
                </c:pt>
                <c:pt idx="86">
                  <c:v>0.59500000000000042</c:v>
                </c:pt>
                <c:pt idx="87">
                  <c:v>0.60000000000000042</c:v>
                </c:pt>
                <c:pt idx="88">
                  <c:v>0.60500000000000043</c:v>
                </c:pt>
                <c:pt idx="89">
                  <c:v>0.61000000000000043</c:v>
                </c:pt>
                <c:pt idx="90">
                  <c:v>0.61500000000000044</c:v>
                </c:pt>
                <c:pt idx="91">
                  <c:v>0.62000000000000044</c:v>
                </c:pt>
                <c:pt idx="92">
                  <c:v>0.62500000000000044</c:v>
                </c:pt>
                <c:pt idx="93">
                  <c:v>0.63000000000000045</c:v>
                </c:pt>
                <c:pt idx="94">
                  <c:v>0.63500000000000045</c:v>
                </c:pt>
                <c:pt idx="95">
                  <c:v>0.64000000000000046</c:v>
                </c:pt>
                <c:pt idx="96">
                  <c:v>0.64500000000000046</c:v>
                </c:pt>
                <c:pt idx="97">
                  <c:v>0.65000000000000047</c:v>
                </c:pt>
                <c:pt idx="98">
                  <c:v>0.65500000000000047</c:v>
                </c:pt>
                <c:pt idx="99">
                  <c:v>0.66000000000000048</c:v>
                </c:pt>
                <c:pt idx="100">
                  <c:v>0.66500000000000048</c:v>
                </c:pt>
                <c:pt idx="101">
                  <c:v>0.67000000000000048</c:v>
                </c:pt>
                <c:pt idx="102">
                  <c:v>0.67500000000000049</c:v>
                </c:pt>
                <c:pt idx="103">
                  <c:v>0.68000000000000049</c:v>
                </c:pt>
                <c:pt idx="104">
                  <c:v>0.6850000000000005</c:v>
                </c:pt>
                <c:pt idx="105">
                  <c:v>0.6900000000000005</c:v>
                </c:pt>
                <c:pt idx="106">
                  <c:v>0.69500000000000051</c:v>
                </c:pt>
                <c:pt idx="107">
                  <c:v>0.70000000000000051</c:v>
                </c:pt>
                <c:pt idx="108">
                  <c:v>0.70500000000000052</c:v>
                </c:pt>
                <c:pt idx="109">
                  <c:v>0.71000000000000052</c:v>
                </c:pt>
                <c:pt idx="110">
                  <c:v>0.71500000000000052</c:v>
                </c:pt>
                <c:pt idx="111">
                  <c:v>0.72000000000000053</c:v>
                </c:pt>
                <c:pt idx="112">
                  <c:v>0.72500000000000053</c:v>
                </c:pt>
                <c:pt idx="113">
                  <c:v>0.73000000000000054</c:v>
                </c:pt>
                <c:pt idx="114">
                  <c:v>0.73500000000000054</c:v>
                </c:pt>
                <c:pt idx="115">
                  <c:v>0.74000000000000055</c:v>
                </c:pt>
                <c:pt idx="116">
                  <c:v>0.74500000000000055</c:v>
                </c:pt>
                <c:pt idx="117">
                  <c:v>0.75000000000000056</c:v>
                </c:pt>
                <c:pt idx="118">
                  <c:v>0.75500000000000056</c:v>
                </c:pt>
                <c:pt idx="119">
                  <c:v>0.76000000000000056</c:v>
                </c:pt>
                <c:pt idx="120">
                  <c:v>0.76500000000000057</c:v>
                </c:pt>
                <c:pt idx="121">
                  <c:v>0.77000000000000057</c:v>
                </c:pt>
                <c:pt idx="122">
                  <c:v>0.77500000000000058</c:v>
                </c:pt>
                <c:pt idx="123">
                  <c:v>0.78000000000000058</c:v>
                </c:pt>
                <c:pt idx="124">
                  <c:v>0.78500000000000059</c:v>
                </c:pt>
                <c:pt idx="125">
                  <c:v>0.79000000000000059</c:v>
                </c:pt>
                <c:pt idx="126">
                  <c:v>0.7950000000000006</c:v>
                </c:pt>
                <c:pt idx="127">
                  <c:v>0.8000000000000006</c:v>
                </c:pt>
                <c:pt idx="128">
                  <c:v>0.8050000000000006</c:v>
                </c:pt>
                <c:pt idx="129">
                  <c:v>0.81000000000000061</c:v>
                </c:pt>
                <c:pt idx="130">
                  <c:v>0.81500000000000061</c:v>
                </c:pt>
                <c:pt idx="131">
                  <c:v>0.82000000000000062</c:v>
                </c:pt>
                <c:pt idx="132">
                  <c:v>0.82500000000000062</c:v>
                </c:pt>
                <c:pt idx="133">
                  <c:v>0.83000000000000063</c:v>
                </c:pt>
                <c:pt idx="134">
                  <c:v>0.83500000000000063</c:v>
                </c:pt>
                <c:pt idx="135">
                  <c:v>0.84000000000000064</c:v>
                </c:pt>
                <c:pt idx="136">
                  <c:v>0.84500000000000064</c:v>
                </c:pt>
                <c:pt idx="137">
                  <c:v>0.85000000000000064</c:v>
                </c:pt>
                <c:pt idx="138">
                  <c:v>0.85500000000000065</c:v>
                </c:pt>
                <c:pt idx="139">
                  <c:v>0.86000000000000065</c:v>
                </c:pt>
                <c:pt idx="140">
                  <c:v>0.86500000000000066</c:v>
                </c:pt>
                <c:pt idx="141">
                  <c:v>0.87000000000000066</c:v>
                </c:pt>
                <c:pt idx="142">
                  <c:v>0.87500000000000067</c:v>
                </c:pt>
                <c:pt idx="143">
                  <c:v>0.88000000000000067</c:v>
                </c:pt>
                <c:pt idx="144">
                  <c:v>0.88500000000000068</c:v>
                </c:pt>
                <c:pt idx="145">
                  <c:v>0.89000000000000068</c:v>
                </c:pt>
                <c:pt idx="146">
                  <c:v>0.89500000000000068</c:v>
                </c:pt>
                <c:pt idx="147">
                  <c:v>0.90000000000000069</c:v>
                </c:pt>
                <c:pt idx="148">
                  <c:v>0.90500000000000069</c:v>
                </c:pt>
                <c:pt idx="149">
                  <c:v>0.9100000000000007</c:v>
                </c:pt>
                <c:pt idx="150">
                  <c:v>0.9150000000000007</c:v>
                </c:pt>
                <c:pt idx="151">
                  <c:v>0.92000000000000071</c:v>
                </c:pt>
                <c:pt idx="152">
                  <c:v>0.92500000000000071</c:v>
                </c:pt>
                <c:pt idx="153">
                  <c:v>0.93000000000000071</c:v>
                </c:pt>
                <c:pt idx="154">
                  <c:v>0.93500000000000072</c:v>
                </c:pt>
                <c:pt idx="155">
                  <c:v>0.94000000000000072</c:v>
                </c:pt>
                <c:pt idx="156">
                  <c:v>0.94500000000000073</c:v>
                </c:pt>
                <c:pt idx="157">
                  <c:v>0.95000000000000073</c:v>
                </c:pt>
                <c:pt idx="158">
                  <c:v>0.95500000000000074</c:v>
                </c:pt>
                <c:pt idx="159">
                  <c:v>0.96000000000000074</c:v>
                </c:pt>
                <c:pt idx="160">
                  <c:v>0.96500000000000075</c:v>
                </c:pt>
                <c:pt idx="161">
                  <c:v>0.97000000000000075</c:v>
                </c:pt>
                <c:pt idx="162">
                  <c:v>0.97500000000000075</c:v>
                </c:pt>
                <c:pt idx="163">
                  <c:v>0.98000000000000076</c:v>
                </c:pt>
                <c:pt idx="164">
                  <c:v>0.98500000000000076</c:v>
                </c:pt>
                <c:pt idx="165">
                  <c:v>0.99000000000000077</c:v>
                </c:pt>
                <c:pt idx="166">
                  <c:v>0.99500000000000077</c:v>
                </c:pt>
                <c:pt idx="167">
                  <c:v>1.0000000000000007</c:v>
                </c:pt>
                <c:pt idx="168">
                  <c:v>1.0050000000000006</c:v>
                </c:pt>
                <c:pt idx="169">
                  <c:v>1.0100000000000005</c:v>
                </c:pt>
                <c:pt idx="170">
                  <c:v>1.0150000000000003</c:v>
                </c:pt>
                <c:pt idx="171">
                  <c:v>1.0200000000000002</c:v>
                </c:pt>
                <c:pt idx="172">
                  <c:v>1.0250000000000001</c:v>
                </c:pt>
                <c:pt idx="173">
                  <c:v>1.03</c:v>
                </c:pt>
                <c:pt idx="174">
                  <c:v>1.0349999999999999</c:v>
                </c:pt>
                <c:pt idx="175">
                  <c:v>1.0399999999999998</c:v>
                </c:pt>
                <c:pt idx="176">
                  <c:v>1.0449999999999997</c:v>
                </c:pt>
                <c:pt idx="177">
                  <c:v>1.0499999999999996</c:v>
                </c:pt>
                <c:pt idx="178">
                  <c:v>1.0549999999999995</c:v>
                </c:pt>
                <c:pt idx="179">
                  <c:v>1.0599999999999994</c:v>
                </c:pt>
                <c:pt idx="180">
                  <c:v>1.0649999999999993</c:v>
                </c:pt>
                <c:pt idx="181">
                  <c:v>1.0699999999999992</c:v>
                </c:pt>
                <c:pt idx="182">
                  <c:v>1.0749999999999991</c:v>
                </c:pt>
                <c:pt idx="183">
                  <c:v>1.079999999999999</c:v>
                </c:pt>
                <c:pt idx="184">
                  <c:v>1.0849999999999989</c:v>
                </c:pt>
                <c:pt idx="185">
                  <c:v>1.0899999999999987</c:v>
                </c:pt>
                <c:pt idx="186">
                  <c:v>1.0949999999999986</c:v>
                </c:pt>
                <c:pt idx="187">
                  <c:v>1.0999999999999985</c:v>
                </c:pt>
              </c:numCache>
            </c:numRef>
          </c:xVal>
          <c:yVal>
            <c:numRef>
              <c:f>'Atterberg Limits'!$P$40:$P$227</c:f>
              <c:numCache>
                <c:formatCode>0.0\ %</c:formatCode>
                <c:ptCount val="188"/>
                <c:pt idx="0">
                  <c:v>7.6500000000000054E-2</c:v>
                </c:pt>
                <c:pt idx="1">
                  <c:v>8.1000000000000058E-2</c:v>
                </c:pt>
                <c:pt idx="2">
                  <c:v>8.5500000000000062E-2</c:v>
                </c:pt>
                <c:pt idx="3">
                  <c:v>9.0000000000000066E-2</c:v>
                </c:pt>
                <c:pt idx="4">
                  <c:v>9.450000000000007E-2</c:v>
                </c:pt>
                <c:pt idx="5">
                  <c:v>9.9000000000000074E-2</c:v>
                </c:pt>
                <c:pt idx="6">
                  <c:v>0.10350000000000008</c:v>
                </c:pt>
                <c:pt idx="7">
                  <c:v>0.10800000000000008</c:v>
                </c:pt>
                <c:pt idx="8">
                  <c:v>0.1125000000000001</c:v>
                </c:pt>
                <c:pt idx="9">
                  <c:v>0.1170000000000001</c:v>
                </c:pt>
                <c:pt idx="10">
                  <c:v>0.12150000000000011</c:v>
                </c:pt>
                <c:pt idx="11">
                  <c:v>0.12600000000000011</c:v>
                </c:pt>
                <c:pt idx="12">
                  <c:v>0.13050000000000012</c:v>
                </c:pt>
                <c:pt idx="13">
                  <c:v>0.13500000000000012</c:v>
                </c:pt>
                <c:pt idx="14">
                  <c:v>0.13950000000000012</c:v>
                </c:pt>
                <c:pt idx="15">
                  <c:v>0.14400000000000013</c:v>
                </c:pt>
                <c:pt idx="16">
                  <c:v>0.14850000000000013</c:v>
                </c:pt>
                <c:pt idx="17">
                  <c:v>0.15300000000000008</c:v>
                </c:pt>
                <c:pt idx="18">
                  <c:v>0.15750000000000008</c:v>
                </c:pt>
                <c:pt idx="19">
                  <c:v>0.16200000000000009</c:v>
                </c:pt>
                <c:pt idx="20">
                  <c:v>0.16650000000000009</c:v>
                </c:pt>
                <c:pt idx="21">
                  <c:v>0.1710000000000001</c:v>
                </c:pt>
                <c:pt idx="22">
                  <c:v>0.1755000000000001</c:v>
                </c:pt>
                <c:pt idx="23">
                  <c:v>0.1800000000000001</c:v>
                </c:pt>
                <c:pt idx="24">
                  <c:v>0.18450000000000011</c:v>
                </c:pt>
                <c:pt idx="25">
                  <c:v>0.18900000000000011</c:v>
                </c:pt>
                <c:pt idx="26">
                  <c:v>0.19350000000000012</c:v>
                </c:pt>
                <c:pt idx="27">
                  <c:v>0.19800000000000012</c:v>
                </c:pt>
                <c:pt idx="28">
                  <c:v>0.20250000000000012</c:v>
                </c:pt>
                <c:pt idx="29">
                  <c:v>0.20700000000000013</c:v>
                </c:pt>
                <c:pt idx="30">
                  <c:v>0.21150000000000013</c:v>
                </c:pt>
                <c:pt idx="31">
                  <c:v>0.21600000000000014</c:v>
                </c:pt>
                <c:pt idx="32">
                  <c:v>0.22050000000000014</c:v>
                </c:pt>
                <c:pt idx="33">
                  <c:v>0.22500000000000014</c:v>
                </c:pt>
                <c:pt idx="34">
                  <c:v>0.22950000000000015</c:v>
                </c:pt>
                <c:pt idx="35">
                  <c:v>0.23400000000000015</c:v>
                </c:pt>
                <c:pt idx="36">
                  <c:v>0.23850000000000016</c:v>
                </c:pt>
                <c:pt idx="37">
                  <c:v>0.24300000000000016</c:v>
                </c:pt>
                <c:pt idx="38">
                  <c:v>0.24750000000000016</c:v>
                </c:pt>
                <c:pt idx="39">
                  <c:v>0.25200000000000017</c:v>
                </c:pt>
                <c:pt idx="40">
                  <c:v>0.25650000000000017</c:v>
                </c:pt>
                <c:pt idx="41">
                  <c:v>0.26100000000000018</c:v>
                </c:pt>
                <c:pt idx="42">
                  <c:v>0.26550000000000018</c:v>
                </c:pt>
                <c:pt idx="43">
                  <c:v>0.27000000000000018</c:v>
                </c:pt>
                <c:pt idx="44">
                  <c:v>0.27450000000000019</c:v>
                </c:pt>
                <c:pt idx="45">
                  <c:v>0.27900000000000019</c:v>
                </c:pt>
                <c:pt idx="46">
                  <c:v>0.2835000000000002</c:v>
                </c:pt>
                <c:pt idx="47">
                  <c:v>0.2880000000000002</c:v>
                </c:pt>
                <c:pt idx="48">
                  <c:v>0.2925000000000002</c:v>
                </c:pt>
                <c:pt idx="49">
                  <c:v>0.29700000000000021</c:v>
                </c:pt>
                <c:pt idx="50">
                  <c:v>0.30150000000000021</c:v>
                </c:pt>
                <c:pt idx="51">
                  <c:v>0.30600000000000022</c:v>
                </c:pt>
                <c:pt idx="52">
                  <c:v>0.31050000000000022</c:v>
                </c:pt>
                <c:pt idx="53">
                  <c:v>0.31500000000000022</c:v>
                </c:pt>
                <c:pt idx="54">
                  <c:v>0.31950000000000023</c:v>
                </c:pt>
                <c:pt idx="55">
                  <c:v>0.32400000000000023</c:v>
                </c:pt>
                <c:pt idx="56">
                  <c:v>0.32850000000000024</c:v>
                </c:pt>
                <c:pt idx="57">
                  <c:v>0.33300000000000024</c:v>
                </c:pt>
                <c:pt idx="58">
                  <c:v>0.33750000000000024</c:v>
                </c:pt>
                <c:pt idx="59">
                  <c:v>0.34200000000000025</c:v>
                </c:pt>
                <c:pt idx="60">
                  <c:v>0.34650000000000025</c:v>
                </c:pt>
                <c:pt idx="61">
                  <c:v>0.35100000000000026</c:v>
                </c:pt>
                <c:pt idx="62">
                  <c:v>0.35550000000000026</c:v>
                </c:pt>
                <c:pt idx="63">
                  <c:v>0.36000000000000026</c:v>
                </c:pt>
                <c:pt idx="64">
                  <c:v>0.36450000000000027</c:v>
                </c:pt>
                <c:pt idx="65">
                  <c:v>0.36900000000000027</c:v>
                </c:pt>
                <c:pt idx="66">
                  <c:v>0.37350000000000028</c:v>
                </c:pt>
                <c:pt idx="67">
                  <c:v>0.37800000000000028</c:v>
                </c:pt>
                <c:pt idx="68">
                  <c:v>0.38250000000000028</c:v>
                </c:pt>
                <c:pt idx="69">
                  <c:v>0.38700000000000029</c:v>
                </c:pt>
                <c:pt idx="70">
                  <c:v>0.39150000000000029</c:v>
                </c:pt>
                <c:pt idx="71">
                  <c:v>0.3960000000000003</c:v>
                </c:pt>
                <c:pt idx="72">
                  <c:v>0.4005000000000003</c:v>
                </c:pt>
                <c:pt idx="73">
                  <c:v>0.4050000000000003</c:v>
                </c:pt>
                <c:pt idx="74">
                  <c:v>0.40950000000000031</c:v>
                </c:pt>
                <c:pt idx="75">
                  <c:v>0.41400000000000031</c:v>
                </c:pt>
                <c:pt idx="76">
                  <c:v>0.41850000000000032</c:v>
                </c:pt>
                <c:pt idx="77">
                  <c:v>0.42300000000000032</c:v>
                </c:pt>
                <c:pt idx="78">
                  <c:v>0.42750000000000032</c:v>
                </c:pt>
                <c:pt idx="79">
                  <c:v>0.43200000000000033</c:v>
                </c:pt>
                <c:pt idx="80">
                  <c:v>0.43650000000000033</c:v>
                </c:pt>
                <c:pt idx="81">
                  <c:v>0.44100000000000034</c:v>
                </c:pt>
                <c:pt idx="82">
                  <c:v>0.44550000000000034</c:v>
                </c:pt>
                <c:pt idx="83">
                  <c:v>0.4500000000000004</c:v>
                </c:pt>
                <c:pt idx="84">
                  <c:v>0.4545000000000004</c:v>
                </c:pt>
                <c:pt idx="85">
                  <c:v>0.45900000000000041</c:v>
                </c:pt>
                <c:pt idx="86">
                  <c:v>0.46350000000000041</c:v>
                </c:pt>
                <c:pt idx="87">
                  <c:v>0.46800000000000042</c:v>
                </c:pt>
                <c:pt idx="88">
                  <c:v>0.47250000000000042</c:v>
                </c:pt>
                <c:pt idx="89">
                  <c:v>0.47700000000000042</c:v>
                </c:pt>
                <c:pt idx="90">
                  <c:v>0.48150000000000043</c:v>
                </c:pt>
                <c:pt idx="91">
                  <c:v>0.48600000000000043</c:v>
                </c:pt>
                <c:pt idx="92">
                  <c:v>0.49050000000000044</c:v>
                </c:pt>
                <c:pt idx="93">
                  <c:v>0.49500000000000044</c:v>
                </c:pt>
                <c:pt idx="94">
                  <c:v>0.49950000000000044</c:v>
                </c:pt>
                <c:pt idx="95">
                  <c:v>0.50400000000000045</c:v>
                </c:pt>
                <c:pt idx="96">
                  <c:v>0.50850000000000051</c:v>
                </c:pt>
                <c:pt idx="97">
                  <c:v>0.51300000000000046</c:v>
                </c:pt>
                <c:pt idx="98">
                  <c:v>0.51750000000000052</c:v>
                </c:pt>
                <c:pt idx="99">
                  <c:v>0.52200000000000046</c:v>
                </c:pt>
                <c:pt idx="100">
                  <c:v>0.52650000000000052</c:v>
                </c:pt>
                <c:pt idx="101">
                  <c:v>0.53100000000000047</c:v>
                </c:pt>
                <c:pt idx="102">
                  <c:v>0.53550000000000053</c:v>
                </c:pt>
                <c:pt idx="103">
                  <c:v>0.54000000000000048</c:v>
                </c:pt>
                <c:pt idx="104">
                  <c:v>0.54450000000000054</c:v>
                </c:pt>
                <c:pt idx="105">
                  <c:v>0.54900000000000049</c:v>
                </c:pt>
                <c:pt idx="106">
                  <c:v>0.55350000000000055</c:v>
                </c:pt>
                <c:pt idx="107">
                  <c:v>0.5580000000000005</c:v>
                </c:pt>
                <c:pt idx="108">
                  <c:v>0.56250000000000056</c:v>
                </c:pt>
                <c:pt idx="109">
                  <c:v>0.5670000000000005</c:v>
                </c:pt>
                <c:pt idx="110">
                  <c:v>0.57150000000000056</c:v>
                </c:pt>
                <c:pt idx="111">
                  <c:v>0.57600000000000051</c:v>
                </c:pt>
                <c:pt idx="112">
                  <c:v>0.58050000000000057</c:v>
                </c:pt>
                <c:pt idx="113">
                  <c:v>0.58500000000000052</c:v>
                </c:pt>
                <c:pt idx="114">
                  <c:v>0.58950000000000058</c:v>
                </c:pt>
                <c:pt idx="115">
                  <c:v>0.59400000000000053</c:v>
                </c:pt>
                <c:pt idx="116">
                  <c:v>0.59850000000000059</c:v>
                </c:pt>
                <c:pt idx="117">
                  <c:v>0.60300000000000054</c:v>
                </c:pt>
                <c:pt idx="118">
                  <c:v>0.6075000000000006</c:v>
                </c:pt>
                <c:pt idx="119">
                  <c:v>0.61200000000000054</c:v>
                </c:pt>
                <c:pt idx="120">
                  <c:v>0.6165000000000006</c:v>
                </c:pt>
                <c:pt idx="121">
                  <c:v>0.62100000000000055</c:v>
                </c:pt>
                <c:pt idx="122">
                  <c:v>0.62550000000000061</c:v>
                </c:pt>
                <c:pt idx="123">
                  <c:v>0.63000000000000056</c:v>
                </c:pt>
                <c:pt idx="124">
                  <c:v>0.63450000000000062</c:v>
                </c:pt>
                <c:pt idx="125">
                  <c:v>0.63900000000000057</c:v>
                </c:pt>
                <c:pt idx="126">
                  <c:v>0.64350000000000063</c:v>
                </c:pt>
                <c:pt idx="127">
                  <c:v>0.64800000000000058</c:v>
                </c:pt>
                <c:pt idx="128">
                  <c:v>0.65250000000000064</c:v>
                </c:pt>
                <c:pt idx="129">
                  <c:v>0.65700000000000058</c:v>
                </c:pt>
                <c:pt idx="130">
                  <c:v>0.66150000000000064</c:v>
                </c:pt>
                <c:pt idx="131">
                  <c:v>0.66600000000000059</c:v>
                </c:pt>
                <c:pt idx="132">
                  <c:v>0.67050000000000065</c:v>
                </c:pt>
                <c:pt idx="133">
                  <c:v>0.6750000000000006</c:v>
                </c:pt>
                <c:pt idx="134">
                  <c:v>0.67950000000000066</c:v>
                </c:pt>
                <c:pt idx="135">
                  <c:v>0.68400000000000061</c:v>
                </c:pt>
                <c:pt idx="136">
                  <c:v>0.68850000000000067</c:v>
                </c:pt>
                <c:pt idx="137">
                  <c:v>0.69300000000000062</c:v>
                </c:pt>
                <c:pt idx="138">
                  <c:v>0.69750000000000068</c:v>
                </c:pt>
                <c:pt idx="139">
                  <c:v>0.70200000000000062</c:v>
                </c:pt>
                <c:pt idx="140">
                  <c:v>0.70650000000000068</c:v>
                </c:pt>
                <c:pt idx="141">
                  <c:v>0.71100000000000063</c:v>
                </c:pt>
                <c:pt idx="142">
                  <c:v>0.71550000000000069</c:v>
                </c:pt>
                <c:pt idx="143">
                  <c:v>0.72000000000000064</c:v>
                </c:pt>
                <c:pt idx="144">
                  <c:v>0.7245000000000007</c:v>
                </c:pt>
                <c:pt idx="145">
                  <c:v>0.72900000000000065</c:v>
                </c:pt>
                <c:pt idx="146">
                  <c:v>0.73350000000000071</c:v>
                </c:pt>
                <c:pt idx="147">
                  <c:v>0.73800000000000066</c:v>
                </c:pt>
                <c:pt idx="148">
                  <c:v>0.74250000000000071</c:v>
                </c:pt>
                <c:pt idx="149">
                  <c:v>0.74700000000000066</c:v>
                </c:pt>
                <c:pt idx="150">
                  <c:v>0.75150000000000072</c:v>
                </c:pt>
                <c:pt idx="151">
                  <c:v>0.75600000000000067</c:v>
                </c:pt>
                <c:pt idx="152">
                  <c:v>0.76050000000000073</c:v>
                </c:pt>
                <c:pt idx="153">
                  <c:v>0.76500000000000068</c:v>
                </c:pt>
                <c:pt idx="154">
                  <c:v>0.76950000000000074</c:v>
                </c:pt>
                <c:pt idx="155">
                  <c:v>0.77400000000000069</c:v>
                </c:pt>
                <c:pt idx="156">
                  <c:v>0.77850000000000075</c:v>
                </c:pt>
                <c:pt idx="157">
                  <c:v>0.7830000000000007</c:v>
                </c:pt>
                <c:pt idx="158">
                  <c:v>0.78750000000000075</c:v>
                </c:pt>
                <c:pt idx="159">
                  <c:v>0.7920000000000007</c:v>
                </c:pt>
                <c:pt idx="160">
                  <c:v>0.79650000000000076</c:v>
                </c:pt>
                <c:pt idx="161">
                  <c:v>0.80100000000000071</c:v>
                </c:pt>
                <c:pt idx="162">
                  <c:v>0.80550000000000077</c:v>
                </c:pt>
                <c:pt idx="163">
                  <c:v>0.81000000000000072</c:v>
                </c:pt>
                <c:pt idx="164">
                  <c:v>0.81450000000000078</c:v>
                </c:pt>
                <c:pt idx="165">
                  <c:v>0.81900000000000073</c:v>
                </c:pt>
                <c:pt idx="166">
                  <c:v>0.82350000000000079</c:v>
                </c:pt>
                <c:pt idx="167">
                  <c:v>0.82800000000000062</c:v>
                </c:pt>
                <c:pt idx="168">
                  <c:v>0.83250000000000057</c:v>
                </c:pt>
                <c:pt idx="169">
                  <c:v>0.83700000000000041</c:v>
                </c:pt>
                <c:pt idx="170">
                  <c:v>0.84150000000000036</c:v>
                </c:pt>
                <c:pt idx="171">
                  <c:v>0.84600000000000031</c:v>
                </c:pt>
                <c:pt idx="172">
                  <c:v>0.85050000000000014</c:v>
                </c:pt>
                <c:pt idx="173">
                  <c:v>0.85500000000000009</c:v>
                </c:pt>
                <c:pt idx="174">
                  <c:v>0.85949999999999993</c:v>
                </c:pt>
                <c:pt idx="175">
                  <c:v>0.86399999999999988</c:v>
                </c:pt>
                <c:pt idx="176">
                  <c:v>0.86849999999999983</c:v>
                </c:pt>
                <c:pt idx="177">
                  <c:v>0.87299999999999967</c:v>
                </c:pt>
                <c:pt idx="178">
                  <c:v>0.87749999999999961</c:v>
                </c:pt>
                <c:pt idx="179">
                  <c:v>0.88199999999999945</c:v>
                </c:pt>
                <c:pt idx="180">
                  <c:v>0.8864999999999994</c:v>
                </c:pt>
                <c:pt idx="181">
                  <c:v>0.89099999999999935</c:v>
                </c:pt>
                <c:pt idx="182">
                  <c:v>0.89549999999999919</c:v>
                </c:pt>
                <c:pt idx="183">
                  <c:v>0.89999999999999913</c:v>
                </c:pt>
                <c:pt idx="184">
                  <c:v>0.90449999999999897</c:v>
                </c:pt>
                <c:pt idx="185">
                  <c:v>0.90899999999999881</c:v>
                </c:pt>
                <c:pt idx="186">
                  <c:v>0.91349999999999876</c:v>
                </c:pt>
                <c:pt idx="187">
                  <c:v>0.91799999999999859</c:v>
                </c:pt>
              </c:numCache>
            </c:numRef>
          </c:yVal>
        </c:ser>
        <c:axId val="60045952"/>
        <c:axId val="60060416"/>
      </c:scatterChart>
      <c:valAx>
        <c:axId val="60045952"/>
        <c:scaling>
          <c:orientation val="minMax"/>
          <c:max val="1.1000000000000001"/>
          <c:min val="0"/>
        </c:scaling>
        <c:axPos val="b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Liquid Limit</a:t>
                </a:r>
              </a:p>
            </c:rich>
          </c:tx>
          <c:layout>
            <c:manualLayout>
              <c:xMode val="edge"/>
              <c:yMode val="edge"/>
              <c:x val="0.48103186646433993"/>
              <c:y val="0.9392523364485981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60060416"/>
        <c:crosses val="autoZero"/>
        <c:crossBetween val="midCat"/>
        <c:majorUnit val="0.1"/>
        <c:minorUnit val="0.02"/>
      </c:valAx>
      <c:valAx>
        <c:axId val="60060416"/>
        <c:scaling>
          <c:orientation val="minMax"/>
          <c:max val="0.8"/>
        </c:scaling>
        <c:axPos val="l"/>
        <c:majorGridlines>
          <c:spPr>
            <a:ln w="3175">
              <a:solidFill>
                <a:srgbClr val="C0C0C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Futura"/>
                    <a:ea typeface="Futura"/>
                    <a:cs typeface="Futura"/>
                  </a:defRPr>
                </a:pPr>
                <a:r>
                  <a:t>Plasticity Index</a:t>
                </a:r>
              </a:p>
            </c:rich>
          </c:tx>
          <c:layout>
            <c:manualLayout>
              <c:xMode val="edge"/>
              <c:yMode val="edge"/>
              <c:x val="7.5872534142640367E-3"/>
              <c:y val="0.39485981308411217"/>
            </c:manualLayout>
          </c:layout>
          <c:spPr>
            <a:noFill/>
            <a:ln w="25400">
              <a:noFill/>
            </a:ln>
          </c:spPr>
        </c:title>
        <c:numFmt formatCode="0.0\ %" sourceLinked="1"/>
        <c:majorTickMark val="cross"/>
        <c:minorTickMark val="in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Futura"/>
                <a:ea typeface="Futura"/>
                <a:cs typeface="Futura"/>
              </a:defRPr>
            </a:pPr>
            <a:endParaRPr lang="en-US"/>
          </a:p>
        </c:txPr>
        <c:crossAx val="60045952"/>
        <c:crosses val="autoZero"/>
        <c:crossBetween val="midCat"/>
        <c:majorUnit val="0.1"/>
        <c:minorUnit val="0.02"/>
      </c:valAx>
      <c:spPr>
        <a:solidFill>
          <a:srgbClr val="FFFFFF"/>
        </a:solidFill>
        <a:ln w="25400">
          <a:noFill/>
        </a:ln>
      </c:spPr>
    </c:plotArea>
    <c:dispBlanksAs val="gap"/>
  </c:chart>
  <c:spPr>
    <a:solidFill>
      <a:srgbClr val="FFFFFF"/>
    </a:solidFill>
    <a:ln w="254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900" b="0" i="0" u="none" strike="noStrike" baseline="0">
          <a:solidFill>
            <a:srgbClr val="000000"/>
          </a:solidFill>
          <a:latin typeface="Futura"/>
          <a:ea typeface="Futura"/>
          <a:cs typeface="Futura"/>
        </a:defRPr>
      </a:pPr>
      <a:endParaRPr lang="en-US"/>
    </a:p>
  </c:txPr>
  <c:printSettings>
    <c:headerFooter alignWithMargins="0">
      <c:oddHeader>&amp;A</c:oddHeader>
      <c:oddFooter>Page &amp;P</c:oddFooter>
    </c:headerFooter>
    <c:pageMargins b="1" l="0.75" r="0.75" t="1" header="0.5" footer="0.5"/>
    <c:pageSetup orientation="landscape" horizontalDpi="300" verticalDpi="300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85725</xdr:rowOff>
    </xdr:from>
    <xdr:to>
      <xdr:col>11</xdr:col>
      <xdr:colOff>457200</xdr:colOff>
      <xdr:row>29</xdr:row>
      <xdr:rowOff>85725</xdr:rowOff>
    </xdr:to>
    <xdr:graphicFrame macro="">
      <xdr:nvGraphicFramePr>
        <xdr:cNvPr id="7184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485775</xdr:colOff>
      <xdr:row>6</xdr:row>
      <xdr:rowOff>85725</xdr:rowOff>
    </xdr:from>
    <xdr:to>
      <xdr:col>11</xdr:col>
      <xdr:colOff>247650</xdr:colOff>
      <xdr:row>8</xdr:row>
      <xdr:rowOff>0</xdr:rowOff>
    </xdr:to>
    <xdr:sp macro="" textlink="">
      <xdr:nvSpPr>
        <xdr:cNvPr id="7220" name="Text Box 52"/>
        <xdr:cNvSpPr txBox="1">
          <a:spLocks noChangeArrowheads="1"/>
        </xdr:cNvSpPr>
      </xdr:nvSpPr>
      <xdr:spPr bwMode="auto">
        <a:xfrm>
          <a:off x="5629275" y="771525"/>
          <a:ext cx="276225" cy="1428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20%</a:t>
          </a:r>
        </a:p>
      </xdr:txBody>
    </xdr:sp>
    <xdr:clientData/>
  </xdr:twoCellAnchor>
  <xdr:twoCellAnchor>
    <xdr:from>
      <xdr:col>10</xdr:col>
      <xdr:colOff>485775</xdr:colOff>
      <xdr:row>12</xdr:row>
      <xdr:rowOff>85725</xdr:rowOff>
    </xdr:from>
    <xdr:to>
      <xdr:col>11</xdr:col>
      <xdr:colOff>247650</xdr:colOff>
      <xdr:row>14</xdr:row>
      <xdr:rowOff>19050</xdr:rowOff>
    </xdr:to>
    <xdr:sp macro="" textlink="">
      <xdr:nvSpPr>
        <xdr:cNvPr id="7226" name="Text Box 58"/>
        <xdr:cNvSpPr txBox="1">
          <a:spLocks noChangeArrowheads="1"/>
        </xdr:cNvSpPr>
      </xdr:nvSpPr>
      <xdr:spPr bwMode="auto">
        <a:xfrm>
          <a:off x="5629275" y="1457325"/>
          <a:ext cx="276225" cy="1619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50%</a:t>
          </a:r>
        </a:p>
      </xdr:txBody>
    </xdr:sp>
    <xdr:clientData/>
  </xdr:twoCellAnchor>
  <xdr:twoCellAnchor>
    <xdr:from>
      <xdr:col>10</xdr:col>
      <xdr:colOff>495300</xdr:colOff>
      <xdr:row>14</xdr:row>
      <xdr:rowOff>76200</xdr:rowOff>
    </xdr:from>
    <xdr:to>
      <xdr:col>11</xdr:col>
      <xdr:colOff>276225</xdr:colOff>
      <xdr:row>16</xdr:row>
      <xdr:rowOff>19050</xdr:rowOff>
    </xdr:to>
    <xdr:sp macro="" textlink="">
      <xdr:nvSpPr>
        <xdr:cNvPr id="7227" name="Text Box 59"/>
        <xdr:cNvSpPr txBox="1">
          <a:spLocks noChangeArrowheads="1"/>
        </xdr:cNvSpPr>
      </xdr:nvSpPr>
      <xdr:spPr bwMode="auto">
        <a:xfrm>
          <a:off x="5638800" y="1676400"/>
          <a:ext cx="29527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60%</a:t>
          </a:r>
        </a:p>
      </xdr:txBody>
    </xdr:sp>
    <xdr:clientData/>
  </xdr:twoCellAnchor>
  <xdr:twoCellAnchor>
    <xdr:from>
      <xdr:col>10</xdr:col>
      <xdr:colOff>485775</xdr:colOff>
      <xdr:row>16</xdr:row>
      <xdr:rowOff>85725</xdr:rowOff>
    </xdr:from>
    <xdr:to>
      <xdr:col>11</xdr:col>
      <xdr:colOff>266700</xdr:colOff>
      <xdr:row>18</xdr:row>
      <xdr:rowOff>28575</xdr:rowOff>
    </xdr:to>
    <xdr:sp macro="" textlink="">
      <xdr:nvSpPr>
        <xdr:cNvPr id="7228" name="Text Box 60"/>
        <xdr:cNvSpPr txBox="1">
          <a:spLocks noChangeArrowheads="1"/>
        </xdr:cNvSpPr>
      </xdr:nvSpPr>
      <xdr:spPr bwMode="auto">
        <a:xfrm>
          <a:off x="5629275" y="1914525"/>
          <a:ext cx="29527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70%</a:t>
          </a:r>
        </a:p>
      </xdr:txBody>
    </xdr:sp>
    <xdr:clientData/>
  </xdr:twoCellAnchor>
  <xdr:twoCellAnchor>
    <xdr:from>
      <xdr:col>10</xdr:col>
      <xdr:colOff>495300</xdr:colOff>
      <xdr:row>4</xdr:row>
      <xdr:rowOff>85725</xdr:rowOff>
    </xdr:from>
    <xdr:to>
      <xdr:col>11</xdr:col>
      <xdr:colOff>247650</xdr:colOff>
      <xdr:row>6</xdr:row>
      <xdr:rowOff>0</xdr:rowOff>
    </xdr:to>
    <xdr:sp macro="" textlink="">
      <xdr:nvSpPr>
        <xdr:cNvPr id="7229" name="Text Box 61"/>
        <xdr:cNvSpPr txBox="1">
          <a:spLocks noChangeArrowheads="1"/>
        </xdr:cNvSpPr>
      </xdr:nvSpPr>
      <xdr:spPr bwMode="auto">
        <a:xfrm>
          <a:off x="5638800" y="542925"/>
          <a:ext cx="266700" cy="1428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10%</a:t>
          </a:r>
        </a:p>
      </xdr:txBody>
    </xdr:sp>
    <xdr:clientData/>
  </xdr:twoCellAnchor>
  <xdr:twoCellAnchor>
    <xdr:from>
      <xdr:col>10</xdr:col>
      <xdr:colOff>504825</xdr:colOff>
      <xdr:row>18</xdr:row>
      <xdr:rowOff>76200</xdr:rowOff>
    </xdr:from>
    <xdr:to>
      <xdr:col>11</xdr:col>
      <xdr:colOff>276225</xdr:colOff>
      <xdr:row>20</xdr:row>
      <xdr:rowOff>38100</xdr:rowOff>
    </xdr:to>
    <xdr:sp macro="" textlink="">
      <xdr:nvSpPr>
        <xdr:cNvPr id="7230" name="Text Box 62"/>
        <xdr:cNvSpPr txBox="1">
          <a:spLocks noChangeArrowheads="1"/>
        </xdr:cNvSpPr>
      </xdr:nvSpPr>
      <xdr:spPr bwMode="auto">
        <a:xfrm>
          <a:off x="5648325" y="2133600"/>
          <a:ext cx="285750" cy="19050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80%</a:t>
          </a:r>
        </a:p>
      </xdr:txBody>
    </xdr:sp>
    <xdr:clientData/>
  </xdr:twoCellAnchor>
  <xdr:twoCellAnchor>
    <xdr:from>
      <xdr:col>10</xdr:col>
      <xdr:colOff>485775</xdr:colOff>
      <xdr:row>8</xdr:row>
      <xdr:rowOff>95250</xdr:rowOff>
    </xdr:from>
    <xdr:to>
      <xdr:col>11</xdr:col>
      <xdr:colOff>238125</xdr:colOff>
      <xdr:row>10</xdr:row>
      <xdr:rowOff>28575</xdr:rowOff>
    </xdr:to>
    <xdr:sp macro="" textlink="">
      <xdr:nvSpPr>
        <xdr:cNvPr id="7231" name="Text Box 63"/>
        <xdr:cNvSpPr txBox="1">
          <a:spLocks noChangeArrowheads="1"/>
        </xdr:cNvSpPr>
      </xdr:nvSpPr>
      <xdr:spPr bwMode="auto">
        <a:xfrm>
          <a:off x="5629275" y="1009650"/>
          <a:ext cx="266700" cy="1619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30%</a:t>
          </a:r>
        </a:p>
      </xdr:txBody>
    </xdr:sp>
    <xdr:clientData/>
  </xdr:twoCellAnchor>
  <xdr:twoCellAnchor>
    <xdr:from>
      <xdr:col>10</xdr:col>
      <xdr:colOff>485775</xdr:colOff>
      <xdr:row>10</xdr:row>
      <xdr:rowOff>85725</xdr:rowOff>
    </xdr:from>
    <xdr:to>
      <xdr:col>11</xdr:col>
      <xdr:colOff>257175</xdr:colOff>
      <xdr:row>12</xdr:row>
      <xdr:rowOff>38100</xdr:rowOff>
    </xdr:to>
    <xdr:sp macro="" textlink="">
      <xdr:nvSpPr>
        <xdr:cNvPr id="7232" name="Text Box 64"/>
        <xdr:cNvSpPr txBox="1">
          <a:spLocks noChangeArrowheads="1"/>
        </xdr:cNvSpPr>
      </xdr:nvSpPr>
      <xdr:spPr bwMode="auto">
        <a:xfrm>
          <a:off x="5629275" y="1228725"/>
          <a:ext cx="285750" cy="1809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40%</a:t>
          </a:r>
        </a:p>
      </xdr:txBody>
    </xdr:sp>
    <xdr:clientData/>
  </xdr:twoCellAnchor>
  <xdr:twoCellAnchor>
    <xdr:from>
      <xdr:col>10</xdr:col>
      <xdr:colOff>485775</xdr:colOff>
      <xdr:row>20</xdr:row>
      <xdr:rowOff>85725</xdr:rowOff>
    </xdr:from>
    <xdr:to>
      <xdr:col>11</xdr:col>
      <xdr:colOff>247650</xdr:colOff>
      <xdr:row>22</xdr:row>
      <xdr:rowOff>28575</xdr:rowOff>
    </xdr:to>
    <xdr:sp macro="" textlink="">
      <xdr:nvSpPr>
        <xdr:cNvPr id="7233" name="Text Box 65"/>
        <xdr:cNvSpPr txBox="1">
          <a:spLocks noChangeArrowheads="1"/>
        </xdr:cNvSpPr>
      </xdr:nvSpPr>
      <xdr:spPr bwMode="auto">
        <a:xfrm>
          <a:off x="5629275" y="2371725"/>
          <a:ext cx="276225" cy="17145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90%</a:t>
          </a:r>
        </a:p>
      </xdr:txBody>
    </xdr:sp>
    <xdr:clientData/>
  </xdr:twoCellAnchor>
  <xdr:twoCellAnchor>
    <xdr:from>
      <xdr:col>10</xdr:col>
      <xdr:colOff>485775</xdr:colOff>
      <xdr:row>22</xdr:row>
      <xdr:rowOff>85725</xdr:rowOff>
    </xdr:from>
    <xdr:to>
      <xdr:col>11</xdr:col>
      <xdr:colOff>304800</xdr:colOff>
      <xdr:row>24</xdr:row>
      <xdr:rowOff>19050</xdr:rowOff>
    </xdr:to>
    <xdr:sp macro="" textlink="">
      <xdr:nvSpPr>
        <xdr:cNvPr id="7234" name="Text Box 66"/>
        <xdr:cNvSpPr txBox="1">
          <a:spLocks noChangeArrowheads="1"/>
        </xdr:cNvSpPr>
      </xdr:nvSpPr>
      <xdr:spPr bwMode="auto">
        <a:xfrm>
          <a:off x="5629275" y="2600325"/>
          <a:ext cx="333375" cy="16192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100%</a:t>
          </a:r>
        </a:p>
      </xdr:txBody>
    </xdr:sp>
    <xdr:clientData/>
  </xdr:twoCellAnchor>
  <xdr:twoCellAnchor>
    <xdr:from>
      <xdr:col>11</xdr:col>
      <xdr:colOff>285750</xdr:colOff>
      <xdr:row>9</xdr:row>
      <xdr:rowOff>85725</xdr:rowOff>
    </xdr:from>
    <xdr:to>
      <xdr:col>11</xdr:col>
      <xdr:colOff>504825</xdr:colOff>
      <xdr:row>20</xdr:row>
      <xdr:rowOff>0</xdr:rowOff>
    </xdr:to>
    <xdr:sp macro="" textlink="">
      <xdr:nvSpPr>
        <xdr:cNvPr id="7235" name="Text Box 67"/>
        <xdr:cNvSpPr txBox="1">
          <a:spLocks noChangeArrowheads="1"/>
        </xdr:cNvSpPr>
      </xdr:nvSpPr>
      <xdr:spPr bwMode="auto">
        <a:xfrm>
          <a:off x="5943600" y="1114425"/>
          <a:ext cx="21907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vert="vert270" wrap="square" lIns="27432" tIns="22860" rIns="0" bIns="0" anchor="t" upright="1"/>
        <a:lstStyle/>
        <a:p>
          <a:pPr algn="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% Retained by Weight</a:t>
          </a:r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0.91171</cdr:x>
      <cdr:y>0.08985</cdr:y>
    </cdr:from>
    <cdr:to>
      <cdr:x>0.96955</cdr:x>
      <cdr:y>0.18164</cdr:y>
    </cdr:to>
    <cdr:sp macro="" textlink="">
      <cdr:nvSpPr>
        <cdr:cNvPr id="8193" name="Text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60989" y="301853"/>
          <a:ext cx="352544" cy="30513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</cdr:spPr>
    </cdr:sp>
  </cdr:relSizeAnchor>
  <cdr:relSizeAnchor xmlns:cdr="http://schemas.openxmlformats.org/drawingml/2006/chartDrawing">
    <cdr:from>
      <cdr:x>0.09222</cdr:x>
      <cdr:y>0.01433</cdr:y>
    </cdr:from>
    <cdr:to>
      <cdr:x>0.41559</cdr:x>
      <cdr:y>0.06581</cdr:y>
    </cdr:to>
    <cdr:sp macro="" textlink="">
      <cdr:nvSpPr>
        <cdr:cNvPr id="8224" name="Text 3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5364" y="50800"/>
          <a:ext cx="1971247" cy="17113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U.S. Standard Sieve Opening in Inches</a:t>
          </a:r>
        </a:p>
      </cdr:txBody>
    </cdr:sp>
  </cdr:relSizeAnchor>
  <cdr:relSizeAnchor xmlns:cdr="http://schemas.openxmlformats.org/drawingml/2006/chartDrawing">
    <cdr:from>
      <cdr:x>0.42666</cdr:x>
      <cdr:y>0.01433</cdr:y>
    </cdr:from>
    <cdr:to>
      <cdr:x>0.66882</cdr:x>
      <cdr:y>0.06314</cdr:y>
    </cdr:to>
    <cdr:sp macro="" textlink="">
      <cdr:nvSpPr>
        <cdr:cNvPr id="8225" name="Text 3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04119" y="50800"/>
          <a:ext cx="1476185" cy="16225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U.S. Standard Sieve Numbers</a:t>
          </a:r>
        </a:p>
      </cdr:txBody>
    </cdr:sp>
  </cdr:relSizeAnchor>
  <cdr:relSizeAnchor xmlns:cdr="http://schemas.openxmlformats.org/drawingml/2006/chartDrawing">
    <cdr:from>
      <cdr:x>0.72345</cdr:x>
      <cdr:y>0.01433</cdr:y>
    </cdr:from>
    <cdr:to>
      <cdr:x>0.89695</cdr:x>
      <cdr:y>0.06022</cdr:y>
    </cdr:to>
    <cdr:sp macro="" textlink="">
      <cdr:nvSpPr>
        <cdr:cNvPr id="8226" name="Text 38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413345" y="50800"/>
          <a:ext cx="1057632" cy="15256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Hydrometer Results</a:t>
          </a:r>
        </a:p>
      </cdr:txBody>
    </cdr:sp>
  </cdr:relSizeAnchor>
  <cdr:relSizeAnchor xmlns:cdr="http://schemas.openxmlformats.org/drawingml/2006/chartDrawing">
    <cdr:from>
      <cdr:x>0.13726</cdr:x>
      <cdr:y>0.88295</cdr:y>
    </cdr:from>
    <cdr:to>
      <cdr:x>0.24923</cdr:x>
      <cdr:y>0.98567</cdr:y>
    </cdr:to>
    <cdr:sp macro="" textlink="">
      <cdr:nvSpPr>
        <cdr:cNvPr id="8242" name="Rectangle 50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839899" y="2938311"/>
          <a:ext cx="682585" cy="34146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miter lim="800000"/>
          <a:headEnd/>
          <a:tailEnd/>
        </a:ln>
      </cdr:spPr>
    </cdr:sp>
  </cdr:relSizeAnchor>
  <cdr:relSizeAnchor xmlns:cdr="http://schemas.openxmlformats.org/drawingml/2006/chartDrawing">
    <cdr:from>
      <cdr:x>0.24923</cdr:x>
      <cdr:y>0.88295</cdr:y>
    </cdr:from>
    <cdr:to>
      <cdr:x>0.41461</cdr:x>
      <cdr:y>0.93783</cdr:y>
    </cdr:to>
    <cdr:sp macro="" textlink="">
      <cdr:nvSpPr>
        <cdr:cNvPr id="8243" name="Rectangle 5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2484" y="2938311"/>
          <a:ext cx="1008126" cy="18243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miter lim="800000"/>
          <a:headEnd/>
          <a:tailEnd/>
        </a:ln>
      </cdr:spPr>
    </cdr:sp>
  </cdr:relSizeAnchor>
  <cdr:relSizeAnchor xmlns:cdr="http://schemas.openxmlformats.org/drawingml/2006/chartDrawing">
    <cdr:from>
      <cdr:x>0.24923</cdr:x>
      <cdr:y>0.93783</cdr:y>
    </cdr:from>
    <cdr:to>
      <cdr:x>0.41461</cdr:x>
      <cdr:y>0.98567</cdr:y>
    </cdr:to>
    <cdr:sp macro="" textlink="">
      <cdr:nvSpPr>
        <cdr:cNvPr id="8244" name="Rectangle 5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2484" y="3120748"/>
          <a:ext cx="1008126" cy="1590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miter lim="800000"/>
          <a:headEnd/>
          <a:tailEnd/>
        </a:ln>
      </cdr:spPr>
    </cdr:sp>
  </cdr:relSizeAnchor>
  <cdr:relSizeAnchor xmlns:cdr="http://schemas.openxmlformats.org/drawingml/2006/chartDrawing">
    <cdr:from>
      <cdr:x>0.41461</cdr:x>
      <cdr:y>0.88295</cdr:y>
    </cdr:from>
    <cdr:to>
      <cdr:x>0.65701</cdr:x>
      <cdr:y>0.93783</cdr:y>
    </cdr:to>
    <cdr:sp macro="" textlink="">
      <cdr:nvSpPr>
        <cdr:cNvPr id="8245" name="Rectangle 5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30610" y="2938311"/>
          <a:ext cx="1477685" cy="18243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miter lim="800000"/>
          <a:headEnd/>
          <a:tailEnd/>
        </a:ln>
      </cdr:spPr>
    </cdr:sp>
  </cdr:relSizeAnchor>
  <cdr:relSizeAnchor xmlns:cdr="http://schemas.openxmlformats.org/drawingml/2006/chartDrawing">
    <cdr:from>
      <cdr:x>0.41461</cdr:x>
      <cdr:y>0.93783</cdr:y>
    </cdr:from>
    <cdr:to>
      <cdr:x>0.65701</cdr:x>
      <cdr:y>0.98567</cdr:y>
    </cdr:to>
    <cdr:sp macro="" textlink="">
      <cdr:nvSpPr>
        <cdr:cNvPr id="8246" name="Rectangle 5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530610" y="3120748"/>
          <a:ext cx="1477685" cy="1590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miter lim="800000"/>
          <a:headEnd/>
          <a:tailEnd/>
        </a:ln>
      </cdr:spPr>
    </cdr:sp>
  </cdr:relSizeAnchor>
  <cdr:relSizeAnchor xmlns:cdr="http://schemas.openxmlformats.org/drawingml/2006/chartDrawing">
    <cdr:from>
      <cdr:x>0.65701</cdr:x>
      <cdr:y>0.88295</cdr:y>
    </cdr:from>
    <cdr:to>
      <cdr:x>0.91073</cdr:x>
      <cdr:y>0.98567</cdr:y>
    </cdr:to>
    <cdr:sp macro="" textlink="">
      <cdr:nvSpPr>
        <cdr:cNvPr id="8247" name="Rectangle 55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08295" y="2938311"/>
          <a:ext cx="1546693" cy="34146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miter lim="800000"/>
          <a:headEnd/>
          <a:tailEnd/>
        </a:ln>
      </cdr:spPr>
    </cdr:sp>
  </cdr:relSizeAnchor>
  <cdr:relSizeAnchor xmlns:cdr="http://schemas.openxmlformats.org/drawingml/2006/chartDrawing">
    <cdr:from>
      <cdr:x>0.14858</cdr:x>
      <cdr:y>0.91112</cdr:y>
    </cdr:from>
    <cdr:to>
      <cdr:x>0.22979</cdr:x>
      <cdr:y>0.95459</cdr:y>
    </cdr:to>
    <cdr:sp macro="" textlink="">
      <cdr:nvSpPr>
        <cdr:cNvPr id="8248" name="Text 8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08907" y="3031951"/>
          <a:ext cx="495062" cy="144497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Cobbles</a:t>
          </a:r>
        </a:p>
      </cdr:txBody>
    </cdr:sp>
  </cdr:relSizeAnchor>
  <cdr:relSizeAnchor xmlns:cdr="http://schemas.openxmlformats.org/drawingml/2006/chartDrawing">
    <cdr:from>
      <cdr:x>0.30017</cdr:x>
      <cdr:y>0.8883</cdr:y>
    </cdr:from>
    <cdr:to>
      <cdr:x>0.37474</cdr:x>
      <cdr:y>0.93686</cdr:y>
    </cdr:to>
    <cdr:sp macro="" textlink="">
      <cdr:nvSpPr>
        <cdr:cNvPr id="8249" name="Text 9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833023" y="2956070"/>
          <a:ext cx="454557" cy="161449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Gravels</a:t>
          </a:r>
        </a:p>
      </cdr:txBody>
    </cdr:sp>
  </cdr:relSizeAnchor>
  <cdr:relSizeAnchor xmlns:cdr="http://schemas.openxmlformats.org/drawingml/2006/chartDrawing">
    <cdr:from>
      <cdr:x>0.49557</cdr:x>
      <cdr:y>0.8883</cdr:y>
    </cdr:from>
    <cdr:to>
      <cdr:x>0.58318</cdr:x>
      <cdr:y>0.93686</cdr:y>
    </cdr:to>
    <cdr:sp macro="" textlink="">
      <cdr:nvSpPr>
        <cdr:cNvPr id="8250" name="Text 10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024172" y="2956070"/>
          <a:ext cx="534066" cy="161449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Sands</a:t>
          </a:r>
        </a:p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SAND</a:t>
          </a:r>
        </a:p>
      </cdr:txBody>
    </cdr:sp>
  </cdr:relSizeAnchor>
  <cdr:relSizeAnchor xmlns:cdr="http://schemas.openxmlformats.org/drawingml/2006/chartDrawing">
    <cdr:from>
      <cdr:x>0.72345</cdr:x>
      <cdr:y>0.91112</cdr:y>
    </cdr:from>
    <cdr:to>
      <cdr:x>0.76972</cdr:x>
      <cdr:y>0.96576</cdr:y>
    </cdr:to>
    <cdr:sp macro="" textlink="">
      <cdr:nvSpPr>
        <cdr:cNvPr id="8251" name="Text 1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413345" y="3031951"/>
          <a:ext cx="282036" cy="181630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Silts</a:t>
          </a:r>
        </a:p>
      </cdr:txBody>
    </cdr:sp>
  </cdr:relSizeAnchor>
  <cdr:relSizeAnchor xmlns:cdr="http://schemas.openxmlformats.org/drawingml/2006/chartDrawing">
    <cdr:from>
      <cdr:x>0.60582</cdr:x>
      <cdr:y>0.93783</cdr:y>
    </cdr:from>
    <cdr:to>
      <cdr:x>0.60582</cdr:x>
      <cdr:y>0.98567</cdr:y>
    </cdr:to>
    <cdr:sp macro="" textlink="">
      <cdr:nvSpPr>
        <cdr:cNvPr id="8252" name="Line 60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3696256" y="3120748"/>
          <a:ext cx="0" cy="15902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round/>
          <a:headEnd/>
          <a:tailEnd/>
        </a:ln>
      </cdr:spPr>
    </cdr:sp>
  </cdr:relSizeAnchor>
  <cdr:relSizeAnchor xmlns:cdr="http://schemas.openxmlformats.org/drawingml/2006/chartDrawing">
    <cdr:from>
      <cdr:x>0.25809</cdr:x>
      <cdr:y>0.94051</cdr:y>
    </cdr:from>
    <cdr:to>
      <cdr:x>0.3238</cdr:x>
      <cdr:y>0.98252</cdr:y>
    </cdr:to>
    <cdr:sp macro="" textlink="">
      <cdr:nvSpPr>
        <cdr:cNvPr id="8253" name="Text 1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6491" y="3129628"/>
          <a:ext cx="400550" cy="139653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Coarse</a:t>
          </a:r>
        </a:p>
      </cdr:txBody>
    </cdr:sp>
  </cdr:relSizeAnchor>
  <cdr:relSizeAnchor xmlns:cdr="http://schemas.openxmlformats.org/drawingml/2006/chartDrawing">
    <cdr:from>
      <cdr:x>0.35062</cdr:x>
      <cdr:y>0.94051</cdr:y>
    </cdr:from>
    <cdr:to>
      <cdr:x>0.3959</cdr:x>
      <cdr:y>0.97985</cdr:y>
    </cdr:to>
    <cdr:sp macro="" textlink="">
      <cdr:nvSpPr>
        <cdr:cNvPr id="8254" name="Text 1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140561" y="3129628"/>
          <a:ext cx="276035" cy="130773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Fine</a:t>
          </a:r>
        </a:p>
      </cdr:txBody>
    </cdr:sp>
  </cdr:relSizeAnchor>
  <cdr:relSizeAnchor xmlns:cdr="http://schemas.openxmlformats.org/drawingml/2006/chartDrawing">
    <cdr:from>
      <cdr:x>0.43897</cdr:x>
      <cdr:y>0.94051</cdr:y>
    </cdr:from>
    <cdr:to>
      <cdr:x>0.50468</cdr:x>
      <cdr:y>0.97985</cdr:y>
    </cdr:to>
    <cdr:sp macro="" textlink="">
      <cdr:nvSpPr>
        <cdr:cNvPr id="8255" name="Text 1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79129" y="3129628"/>
          <a:ext cx="400550" cy="130773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Coarse</a:t>
          </a:r>
        </a:p>
      </cdr:txBody>
    </cdr:sp>
  </cdr:relSizeAnchor>
  <cdr:relSizeAnchor xmlns:cdr="http://schemas.openxmlformats.org/drawingml/2006/chartDrawing">
    <cdr:from>
      <cdr:x>0.33192</cdr:x>
      <cdr:y>0.93783</cdr:y>
    </cdr:from>
    <cdr:to>
      <cdr:x>0.33192</cdr:x>
      <cdr:y>0.98567</cdr:y>
    </cdr:to>
    <cdr:sp macro="" textlink="">
      <cdr:nvSpPr>
        <cdr:cNvPr id="8256" name="Line 64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2026547" y="3120748"/>
          <a:ext cx="0" cy="15902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round/>
          <a:headEnd/>
          <a:tailEnd/>
        </a:ln>
      </cdr:spPr>
    </cdr:sp>
  </cdr:relSizeAnchor>
  <cdr:relSizeAnchor xmlns:cdr="http://schemas.openxmlformats.org/drawingml/2006/chartDrawing">
    <cdr:from>
      <cdr:x>0.53224</cdr:x>
      <cdr:y>0.94366</cdr:y>
    </cdr:from>
    <cdr:to>
      <cdr:x>0.60434</cdr:x>
      <cdr:y>0.98033</cdr:y>
    </cdr:to>
    <cdr:sp macro="" textlink="">
      <cdr:nvSpPr>
        <cdr:cNvPr id="8257" name="Text Box 65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47700" y="3140122"/>
          <a:ext cx="439555" cy="121894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Medium</a:t>
          </a:r>
        </a:p>
      </cdr:txBody>
    </cdr:sp>
  </cdr:relSizeAnchor>
  <cdr:relSizeAnchor xmlns:cdr="http://schemas.openxmlformats.org/drawingml/2006/chartDrawing">
    <cdr:from>
      <cdr:x>0.60828</cdr:x>
      <cdr:y>0.94366</cdr:y>
    </cdr:from>
    <cdr:to>
      <cdr:x>0.65307</cdr:x>
      <cdr:y>0.98349</cdr:y>
    </cdr:to>
    <cdr:sp macro="" textlink="">
      <cdr:nvSpPr>
        <cdr:cNvPr id="8258" name="Text Box 66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711258" y="3140122"/>
          <a:ext cx="273034" cy="132388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Fine</a:t>
          </a:r>
        </a:p>
      </cdr:txBody>
    </cdr:sp>
  </cdr:relSizeAnchor>
  <cdr:relSizeAnchor xmlns:cdr="http://schemas.openxmlformats.org/drawingml/2006/chartDrawing">
    <cdr:from>
      <cdr:x>0.83936</cdr:x>
      <cdr:y>0.91112</cdr:y>
    </cdr:from>
    <cdr:to>
      <cdr:x>0.89695</cdr:x>
      <cdr:y>0.96406</cdr:y>
    </cdr:to>
    <cdr:sp macro="" textlink="">
      <cdr:nvSpPr>
        <cdr:cNvPr id="8259" name="Text Box 67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19934" y="3031951"/>
          <a:ext cx="351043" cy="175979"/>
        </a:xfrm>
        <a:prstGeom xmlns:a="http://schemas.openxmlformats.org/drawingml/2006/main" prst="rect">
          <a:avLst/>
        </a:prstGeom>
        <a:solidFill xmlns:a="http://schemas.openxmlformats.org/drawingml/2006/main">
          <a:srgbClr val="FFFFFF"/>
        </a:solidFill>
        <a:ln xmlns:a="http://schemas.openxmlformats.org/drawingml/2006/main" w="1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Times New Roman"/>
              <a:cs typeface="Times New Roman"/>
            </a:rPr>
            <a:t>Clays</a:t>
          </a:r>
        </a:p>
      </cdr:txBody>
    </cdr:sp>
  </cdr:relSizeAnchor>
  <cdr:relSizeAnchor xmlns:cdr="http://schemas.openxmlformats.org/drawingml/2006/chartDrawing">
    <cdr:from>
      <cdr:x>0.53224</cdr:x>
      <cdr:y>0.93783</cdr:y>
    </cdr:from>
    <cdr:to>
      <cdr:x>0.53224</cdr:x>
      <cdr:y>0.98567</cdr:y>
    </cdr:to>
    <cdr:sp macro="" textlink="">
      <cdr:nvSpPr>
        <cdr:cNvPr id="8260" name="Line 68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3247700" y="3120748"/>
          <a:ext cx="0" cy="159027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round/>
          <a:headEnd/>
          <a:tailEnd/>
        </a:ln>
      </cdr:spPr>
    </cdr:sp>
  </cdr:relSizeAnchor>
  <cdr:relSizeAnchor xmlns:cdr="http://schemas.openxmlformats.org/drawingml/2006/chartDrawing">
    <cdr:from>
      <cdr:x>0.81426</cdr:x>
      <cdr:y>0.88295</cdr:y>
    </cdr:from>
    <cdr:to>
      <cdr:x>0.81426</cdr:x>
      <cdr:y>0.98567</cdr:y>
    </cdr:to>
    <cdr:sp macro="" textlink="">
      <cdr:nvSpPr>
        <cdr:cNvPr id="8261" name="Line 69"/>
        <cdr:cNvSpPr>
          <a:spLocks xmlns:a="http://schemas.openxmlformats.org/drawingml/2006/main" noChangeShapeType="1"/>
        </cdr:cNvSpPr>
      </cdr:nvSpPr>
      <cdr:spPr bwMode="auto">
        <a:xfrm xmlns:a="http://schemas.openxmlformats.org/drawingml/2006/main">
          <a:off x="4966914" y="2938311"/>
          <a:ext cx="0" cy="341464"/>
        </a:xfrm>
        <a:prstGeom xmlns:a="http://schemas.openxmlformats.org/drawingml/2006/main" prst="line">
          <a:avLst/>
        </a:prstGeom>
        <a:noFill xmlns:a="http://schemas.openxmlformats.org/drawingml/2006/main"/>
        <a:ln xmlns:a="http://schemas.openxmlformats.org/drawingml/2006/main" w="9525">
          <a:solidFill>
            <a:srgbClr val="000000"/>
          </a:solidFill>
          <a:round/>
          <a:headEnd/>
          <a:tailEnd/>
        </a:ln>
      </cdr:spPr>
    </cdr:sp>
  </cdr:relSizeAnchor>
  <cdr:relSizeAnchor xmlns:cdr="http://schemas.openxmlformats.org/drawingml/2006/chartDrawing">
    <cdr:from>
      <cdr:x>0.91885</cdr:x>
      <cdr:y>0.06387</cdr:y>
    </cdr:from>
    <cdr:to>
      <cdr:x>0.95798</cdr:x>
      <cdr:y>0.11705</cdr:y>
    </cdr:to>
    <cdr:sp macro="" textlink="">
      <cdr:nvSpPr>
        <cdr:cNvPr id="8266" name="Text Box 7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04494" y="215478"/>
          <a:ext cx="238530" cy="176786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22860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sz="800" b="0" i="0" strike="noStrike">
              <a:solidFill>
                <a:srgbClr val="000000"/>
              </a:solidFill>
              <a:latin typeface="Arial"/>
              <a:cs typeface="Arial"/>
            </a:rPr>
            <a:t>0%</a:t>
          </a:r>
        </a:p>
      </cdr:txBody>
    </cdr:sp>
  </cdr:relSizeAnchor>
  <cdr:relSizeAnchor xmlns:cdr="http://schemas.openxmlformats.org/drawingml/2006/chartDrawing">
    <cdr:from>
      <cdr:x>0.12914</cdr:x>
      <cdr:y>0.05755</cdr:y>
    </cdr:from>
    <cdr:to>
      <cdr:x>0.68137</cdr:x>
      <cdr:y>0.1049</cdr:y>
    </cdr:to>
    <cdr:grpSp>
      <cdr:nvGrpSpPr>
        <cdr:cNvPr id="8269" name="Group 77"/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790392" y="194489"/>
          <a:ext cx="3366421" cy="157413"/>
          <a:chOff x="739592" y="142837"/>
          <a:chExt cx="3369422" cy="162992"/>
        </a:xfrm>
      </cdr:grpSpPr>
      <cdr:sp macro="" textlink="">
        <cdr:nvSpPr>
          <cdr:cNvPr id="8205" name="Text 16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2397300" y="142837"/>
            <a:ext cx="243030" cy="113043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#4</a:t>
            </a:r>
          </a:p>
          <a:p xmlns:a="http://schemas.openxmlformats.org/drawingml/2006/main">
            <a:pPr algn="l" rtl="0">
              <a:defRPr sz="1000"/>
            </a:pPr>
            <a:endParaRPr lang="en-US" sz="600" b="0" i="0" strike="noStrike">
              <a:solidFill>
                <a:srgbClr val="000000"/>
              </a:solidFill>
              <a:latin typeface="Arial"/>
              <a:cs typeface="Arial"/>
            </a:endParaRPr>
          </a:p>
        </cdr:txBody>
      </cdr:sp>
      <cdr:sp macro="" textlink="">
        <cdr:nvSpPr>
          <cdr:cNvPr id="8206" name="Text 17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1665208" y="142837"/>
            <a:ext cx="198025" cy="155981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27432" bIns="0" anchor="t" upright="1"/>
          <a:lstStyle xmlns:a="http://schemas.openxmlformats.org/drawingml/2006/main"/>
          <a:p xmlns:a="http://schemas.openxmlformats.org/drawingml/2006/main">
            <a:pPr algn="ctr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1½</a:t>
            </a:r>
          </a:p>
        </cdr:txBody>
      </cdr:sp>
      <cdr:sp macro="" textlink="">
        <cdr:nvSpPr>
          <cdr:cNvPr id="8207" name="Text 18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2743843" y="145466"/>
            <a:ext cx="178522" cy="158610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10</a:t>
            </a:r>
          </a:p>
        </cdr:txBody>
      </cdr:sp>
      <cdr:sp macro="" textlink="">
        <cdr:nvSpPr>
          <cdr:cNvPr id="8209" name="Text 20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2922365" y="148095"/>
            <a:ext cx="133517" cy="157734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16</a:t>
            </a:r>
          </a:p>
        </cdr:txBody>
      </cdr:sp>
      <cdr:sp macro="" textlink="">
        <cdr:nvSpPr>
          <cdr:cNvPr id="8210" name="Text 21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1219652" y="142837"/>
            <a:ext cx="109514" cy="134950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6</a:t>
            </a:r>
          </a:p>
        </cdr:txBody>
      </cdr:sp>
      <cdr:sp macro="" textlink="">
        <cdr:nvSpPr>
          <cdr:cNvPr id="8211" name="Text 22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739592" y="142837"/>
            <a:ext cx="193525" cy="130569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27432" bIns="0" anchor="t" upright="1"/>
          <a:lstStyle xmlns:a="http://schemas.openxmlformats.org/drawingml/2006/main"/>
          <a:p xmlns:a="http://schemas.openxmlformats.org/drawingml/2006/main">
            <a:pPr algn="ctr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20</a:t>
            </a:r>
          </a:p>
        </cdr:txBody>
      </cdr:sp>
      <cdr:sp macro="" textlink="">
        <cdr:nvSpPr>
          <cdr:cNvPr id="8212" name="Text 23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1906738" y="142837"/>
            <a:ext cx="183023" cy="16299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27432" bIns="0" anchor="t" upright="1"/>
          <a:lstStyle xmlns:a="http://schemas.openxmlformats.org/drawingml/2006/main"/>
          <a:p xmlns:a="http://schemas.openxmlformats.org/drawingml/2006/main">
            <a:pPr algn="ctr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¾</a:t>
            </a:r>
          </a:p>
        </cdr:txBody>
      </cdr:sp>
      <cdr:sp macro="" textlink="">
        <cdr:nvSpPr>
          <cdr:cNvPr id="8213" name="Text 24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2160270" y="147218"/>
            <a:ext cx="187523" cy="118301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27432" bIns="0" anchor="t" upright="1"/>
          <a:lstStyle xmlns:a="http://schemas.openxmlformats.org/drawingml/2006/main"/>
          <a:p xmlns:a="http://schemas.openxmlformats.org/drawingml/2006/main">
            <a:pPr algn="ctr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⅜</a:t>
            </a:r>
          </a:p>
        </cdr:txBody>
      </cdr:sp>
      <cdr:sp macro="" textlink="">
        <cdr:nvSpPr>
          <cdr:cNvPr id="8214" name="Text 25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3163895" y="148095"/>
            <a:ext cx="163521" cy="134950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30</a:t>
            </a:r>
          </a:p>
        </cdr:txBody>
      </cdr:sp>
      <cdr:sp macro="" textlink="">
        <cdr:nvSpPr>
          <cdr:cNvPr id="8216" name="Text 27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3441430" y="146342"/>
            <a:ext cx="178522" cy="128816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50</a:t>
            </a:r>
          </a:p>
        </cdr:txBody>
      </cdr:sp>
      <cdr:sp macro="" textlink="">
        <cdr:nvSpPr>
          <cdr:cNvPr id="8218" name="Text 29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3643955" y="146342"/>
            <a:ext cx="193525" cy="149847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100</a:t>
            </a:r>
          </a:p>
        </cdr:txBody>
      </cdr:sp>
      <cdr:sp macro="" textlink="">
        <cdr:nvSpPr>
          <cdr:cNvPr id="8219" name="Text 30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3871984" y="147218"/>
            <a:ext cx="237030" cy="10866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27432" bIns="0" anchor="t" upright="1"/>
          <a:lstStyle xmlns:a="http://schemas.openxmlformats.org/drawingml/2006/main"/>
          <a:p xmlns:a="http://schemas.openxmlformats.org/drawingml/2006/main">
            <a:pPr algn="ctr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200</a:t>
            </a:r>
          </a:p>
        </cdr:txBody>
      </cdr:sp>
      <cdr:sp macro="" textlink="">
        <cdr:nvSpPr>
          <cdr:cNvPr id="8222" name="Text 34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1477685" y="147218"/>
            <a:ext cx="147018" cy="154229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3</a:t>
            </a:r>
          </a:p>
        </cdr:txBody>
      </cdr:sp>
      <cdr:sp macro="" textlink="">
        <cdr:nvSpPr>
          <cdr:cNvPr id="8223" name="Text 35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1353169" y="142837"/>
            <a:ext cx="144018" cy="137579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4</a:t>
            </a:r>
          </a:p>
        </cdr:txBody>
      </cdr:sp>
      <cdr:sp macro="" textlink="">
        <cdr:nvSpPr>
          <cdr:cNvPr id="8215" name="Text 26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3282410" y="148095"/>
            <a:ext cx="159020" cy="148094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40</a:t>
            </a:r>
          </a:p>
        </cdr:txBody>
      </cdr:sp>
      <cdr:sp macro="" textlink="">
        <cdr:nvSpPr>
          <cdr:cNvPr id="8263" name="Text 20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3049881" y="146342"/>
            <a:ext cx="183023" cy="149847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1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27432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600" b="0" i="0" strike="noStrike">
                <a:solidFill>
                  <a:srgbClr val="000000"/>
                </a:solidFill>
                <a:latin typeface="Arial"/>
                <a:cs typeface="Arial"/>
              </a:rPr>
              <a:t>20</a:t>
            </a:r>
          </a:p>
        </cdr:txBody>
      </cdr:sp>
      <cdr:sp macro="" textlink="">
        <cdr:nvSpPr>
          <cdr:cNvPr id="8268" name="Text Box 76"/>
          <cdr:cNvSpPr txBox="1">
            <a:spLocks xmlns:a="http://schemas.openxmlformats.org/drawingml/2006/main" noChangeArrowheads="1"/>
          </cdr:cNvSpPr>
        </cdr:nvSpPr>
        <cdr:spPr bwMode="auto">
          <a:xfrm xmlns:a="http://schemas.openxmlformats.org/drawingml/2006/main">
            <a:off x="2089761" y="148095"/>
            <a:ext cx="144018" cy="137579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 w="9525">
            <a:noFill/>
            <a:miter lim="800000"/>
            <a:headEnd/>
            <a:tailEnd/>
          </a:ln>
        </cdr:spPr>
        <cdr:txBody>
          <a:bodyPr xmlns:a="http://schemas.openxmlformats.org/drawingml/2006/main" vertOverflow="clip" wrap="square" lIns="18288" tIns="18288" rIns="0" bIns="0" anchor="t" upright="1"/>
          <a:lstStyle xmlns:a="http://schemas.openxmlformats.org/drawingml/2006/main"/>
          <a:p xmlns:a="http://schemas.openxmlformats.org/drawingml/2006/main">
            <a:pPr algn="l" rtl="0">
              <a:defRPr sz="1000"/>
            </a:pPr>
            <a:r>
              <a:rPr lang="en-US" sz="550" b="0" i="0" strike="noStrike">
                <a:solidFill>
                  <a:srgbClr val="000000"/>
                </a:solidFill>
                <a:latin typeface="Arial"/>
                <a:cs typeface="Arial"/>
              </a:rPr>
              <a:t>½</a:t>
            </a:r>
          </a:p>
        </cdr:txBody>
      </cdr:sp>
    </cdr:grp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18</xdr:row>
      <xdr:rowOff>76200</xdr:rowOff>
    </xdr:from>
    <xdr:to>
      <xdr:col>8</xdr:col>
      <xdr:colOff>123825</xdr:colOff>
      <xdr:row>32</xdr:row>
      <xdr:rowOff>104775</xdr:rowOff>
    </xdr:to>
    <xdr:graphicFrame macro="">
      <xdr:nvGraphicFramePr>
        <xdr:cNvPr id="512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7</xdr:row>
      <xdr:rowOff>76200</xdr:rowOff>
    </xdr:from>
    <xdr:to>
      <xdr:col>11</xdr:col>
      <xdr:colOff>219075</xdr:colOff>
      <xdr:row>30</xdr:row>
      <xdr:rowOff>28575</xdr:rowOff>
    </xdr:to>
    <xdr:graphicFrame macro="">
      <xdr:nvGraphicFramePr>
        <xdr:cNvPr id="3073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31</xdr:row>
      <xdr:rowOff>104775</xdr:rowOff>
    </xdr:from>
    <xdr:to>
      <xdr:col>11</xdr:col>
      <xdr:colOff>219075</xdr:colOff>
      <xdr:row>60</xdr:row>
      <xdr:rowOff>38100</xdr:rowOff>
    </xdr:to>
    <xdr:graphicFrame macro="">
      <xdr:nvGraphicFramePr>
        <xdr:cNvPr id="307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76"/>
  <sheetViews>
    <sheetView showGridLines="0" tabSelected="1" showOutlineSymbols="0" workbookViewId="0">
      <selection activeCell="C37" sqref="C37:C50"/>
    </sheetView>
  </sheetViews>
  <sheetFormatPr defaultRowHeight="11.25" outlineLevelCol="2"/>
  <cols>
    <col min="1" max="2" width="6.7109375" style="290" customWidth="1"/>
    <col min="3" max="11" width="9.140625" style="290"/>
    <col min="12" max="12" width="4.7109375" style="290" customWidth="1"/>
    <col min="13" max="13" width="4.7109375" style="290" hidden="1" customWidth="1" outlineLevel="1"/>
    <col min="14" max="14" width="2.7109375" style="290" hidden="1" customWidth="1" outlineLevel="1"/>
    <col min="15" max="16" width="5.7109375" style="290" hidden="1" customWidth="1" outlineLevel="1"/>
    <col min="17" max="19" width="9.140625" style="289" hidden="1" customWidth="1" outlineLevel="2"/>
    <col min="20" max="20" width="9.140625" style="305" hidden="1" customWidth="1" outlineLevel="2"/>
    <col min="21" max="21" width="4.7109375" style="289" hidden="1" customWidth="1" outlineLevel="2"/>
    <col min="22" max="22" width="8.85546875" style="289" hidden="1" customWidth="1" outlineLevel="2"/>
    <col min="23" max="23" width="6.85546875" style="289" hidden="1" customWidth="1" outlineLevel="2"/>
    <col min="24" max="24" width="6.7109375" style="289" hidden="1" customWidth="1" outlineLevel="2"/>
    <col min="25" max="27" width="9.140625" style="290" hidden="1" customWidth="1" outlineLevel="2"/>
    <col min="28" max="33" width="6.7109375" style="290" hidden="1" customWidth="1" outlineLevel="1"/>
    <col min="34" max="34" width="9.140625" style="290" hidden="1" customWidth="1" outlineLevel="1"/>
    <col min="35" max="37" width="6.7109375" style="290" hidden="1" customWidth="1" outlineLevel="1"/>
    <col min="38" max="38" width="4.7109375" style="290" hidden="1" customWidth="1" outlineLevel="1"/>
    <col min="39" max="42" width="6.7109375" style="290" hidden="1" customWidth="1" outlineLevel="1"/>
    <col min="43" max="43" width="7.7109375" style="299" hidden="1" customWidth="1" outlineLevel="1"/>
    <col min="44" max="45" width="6.7109375" style="290" hidden="1" customWidth="1" outlineLevel="1"/>
    <col min="46" max="46" width="8.7109375" style="290" hidden="1" customWidth="1" outlineLevel="1"/>
    <col min="47" max="47" width="6.7109375" style="290" hidden="1" customWidth="1" outlineLevel="1"/>
    <col min="48" max="51" width="9.140625" style="290" hidden="1" customWidth="1" outlineLevel="1"/>
    <col min="52" max="52" width="9.140625" style="290" collapsed="1"/>
    <col min="53" max="16384" width="9.140625" style="290"/>
  </cols>
  <sheetData>
    <row r="1" spans="1:51">
      <c r="A1" s="157" t="s">
        <v>0</v>
      </c>
      <c r="B1" s="158" t="s">
        <v>474</v>
      </c>
      <c r="C1" s="1"/>
      <c r="D1" s="136"/>
      <c r="E1" s="1"/>
      <c r="F1" s="8"/>
      <c r="G1" s="1"/>
      <c r="H1" s="1"/>
      <c r="I1" s="1"/>
      <c r="J1" s="1"/>
      <c r="K1" s="1"/>
      <c r="L1" s="1"/>
      <c r="M1" s="1"/>
      <c r="N1" s="1"/>
      <c r="O1" s="19" t="s">
        <v>18</v>
      </c>
      <c r="P1" s="44" t="s">
        <v>23</v>
      </c>
      <c r="Q1" s="9" t="s">
        <v>278</v>
      </c>
      <c r="R1" s="9">
        <f ca="1">IF(Split="x",D31,C28)</f>
        <v>0</v>
      </c>
      <c r="S1" s="9"/>
      <c r="T1" s="8"/>
      <c r="AB1" s="306">
        <v>1</v>
      </c>
      <c r="AC1" s="31" t="str">
        <f ca="1">INDEX(Specs!F3:F398,AB1,1)</f>
        <v xml:space="preserve"> No Specs   Max</v>
      </c>
      <c r="AF1" s="9">
        <f>COUNT(AE3:AE31)</f>
        <v>29</v>
      </c>
      <c r="AG1" s="31" t="str">
        <f ca="1">INDEX(Specs!$E$3:$E$222,AB1,1)</f>
        <v xml:space="preserve"> No Specs  </v>
      </c>
      <c r="AL1" s="1"/>
    </row>
    <row r="2" spans="1:51">
      <c r="A2" s="8"/>
      <c r="B2" s="8"/>
      <c r="C2" s="1"/>
      <c r="D2" s="136" t="s">
        <v>1</v>
      </c>
      <c r="E2" s="1"/>
      <c r="F2" s="1"/>
      <c r="G2" s="2" t="s">
        <v>2</v>
      </c>
      <c r="H2" s="3"/>
      <c r="J2" s="310" t="s">
        <v>456</v>
      </c>
      <c r="K2" s="3"/>
      <c r="L2" s="1"/>
      <c r="M2" s="1"/>
      <c r="N2" s="1"/>
      <c r="O2" s="17" t="s">
        <v>80</v>
      </c>
      <c r="P2" s="17" t="s">
        <v>56</v>
      </c>
      <c r="Q2" s="9" t="s">
        <v>24</v>
      </c>
      <c r="R2" s="9"/>
      <c r="S2" s="9"/>
      <c r="T2" s="8"/>
      <c r="AC2" s="31" t="str">
        <f ca="1">INDEX(Specs!F3:F398,AB1+1,1)</f>
        <v xml:space="preserve"> No Specs   Min</v>
      </c>
      <c r="AF2" s="9" t="str">
        <f>IF(MAX(AE3:AE31)=1,"Yes","No")</f>
        <v>Yes</v>
      </c>
      <c r="AG2" s="9"/>
      <c r="AH2" s="289" t="s">
        <v>23</v>
      </c>
      <c r="AI2" s="289" t="s">
        <v>27</v>
      </c>
      <c r="AJ2" s="289" t="s">
        <v>26</v>
      </c>
      <c r="AK2" s="289"/>
      <c r="AL2" s="1"/>
    </row>
    <row r="3" spans="1:51">
      <c r="A3" s="1"/>
      <c r="B3" s="1"/>
      <c r="C3" s="1"/>
      <c r="D3" s="137" t="s">
        <v>3</v>
      </c>
      <c r="E3" s="4"/>
      <c r="F3" s="1"/>
      <c r="G3" s="2" t="s">
        <v>4</v>
      </c>
      <c r="H3" s="5"/>
      <c r="J3" s="310" t="s">
        <v>473</v>
      </c>
      <c r="K3" s="5"/>
      <c r="L3" s="1"/>
      <c r="M3" s="1">
        <v>1</v>
      </c>
      <c r="N3" s="244">
        <f>IF(AF3="","",AF3)</f>
        <v>1</v>
      </c>
      <c r="O3" s="9" t="str">
        <f t="shared" ref="O3:O18" si="0">A11</f>
        <v>6.00"</v>
      </c>
      <c r="P3" s="132">
        <f t="shared" ref="P3:P18" si="1">B11</f>
        <v>150</v>
      </c>
      <c r="Q3" s="9" t="str">
        <f>IF(C11="","",C11)</f>
        <v/>
      </c>
      <c r="R3" s="21" t="str">
        <f ca="1">IF(Q3="","",IF(Coarse_Cummalitive="x",Q3/Total_Weight,SUM(Q$3:Q3)/Total_Weight))</f>
        <v/>
      </c>
      <c r="S3" s="21" t="str">
        <f>IF(R3="","",1-R3)</f>
        <v/>
      </c>
      <c r="T3" s="138" t="str">
        <f>IF(AND(Q3="",SUM($R$3:S3)&gt;0),S4+((S2-S4)*(P3-P4)/(P2-P4)),S3)</f>
        <v/>
      </c>
      <c r="U3" s="9">
        <f>TYPE(T3)</f>
        <v>2</v>
      </c>
      <c r="V3" s="9" t="str">
        <f>IF(OR(U3=1,U3=2),"",P3)</f>
        <v/>
      </c>
      <c r="W3" s="9" t="str">
        <f t="shared" ref="W3:W31" si="2">IF(V3="",IF(OR(AND(U4=16,U2&lt;16),AND(U4&lt;16,U2=16),AND(U4=16,U2=16)),P3,""),"")</f>
        <v/>
      </c>
      <c r="X3" s="291" t="str">
        <f>IF(W3="","",S3)</f>
        <v/>
      </c>
      <c r="Y3" s="292" t="str">
        <f>IF(V3="","",MIN($X$3:X3)-MAX(X4:$X$31))</f>
        <v/>
      </c>
      <c r="Z3" s="293" t="str">
        <f>IF(V3="","",MIN($W$3:W3)-MAX(W4:$W$31))</f>
        <v/>
      </c>
      <c r="AA3" s="294" t="str">
        <f>IF(V3="","",(V3-MAX(W4:$W$31))/Z3*Y3+MAX(X4:$X$31))</f>
        <v/>
      </c>
      <c r="AB3" s="295">
        <f>IF(AA3="",IF(T3="",1,T3),AA3)</f>
        <v>1</v>
      </c>
      <c r="AC3" s="243">
        <f ca="1">IF(VLOOKUP($AC$1,Specs!$F$3:$AI$398,2,FALSE)="","",VLOOKUP($AC$1,Specs!$F$3:$AI$398,2,FALSE))</f>
        <v>1</v>
      </c>
      <c r="AD3" s="243">
        <f ca="1">IF(VLOOKUP($AC$2,Specs!$F$3:$AI$398,2,FALSE)="","",VLOOKUP($AC$2,Specs!$F$3:$AI$398,2,FALSE))</f>
        <v>0</v>
      </c>
      <c r="AE3" s="9">
        <f t="shared" ref="AE3:AE16" si="3">IF(AC3="","",IF(AND(AB3&lt;=AC3,AB3&gt;=AD3),1,2))</f>
        <v>1</v>
      </c>
      <c r="AF3" s="244">
        <f>IF(AE3="","",1)</f>
        <v>1</v>
      </c>
      <c r="AG3" s="9">
        <f>VLOOKUP(MAX($AF$3:$AF$31),AF3:AF31,1)</f>
        <v>29</v>
      </c>
      <c r="AH3" s="290">
        <f>IF(AG3="",200,VLOOKUP(AG3,$N$3:$AD$31,3,FALSE))</f>
        <v>7.4999999999999997E-2</v>
      </c>
      <c r="AI3" s="295">
        <f>IF(AG3="",1,VLOOKUP(AG3,$N$3:$AD$31,16,FALSE))</f>
        <v>1</v>
      </c>
      <c r="AJ3" s="295">
        <f>IF(AG3="",1,VLOOKUP(AG3,$N$3:$AD$31,17,FALSE))</f>
        <v>0</v>
      </c>
      <c r="AK3" s="295">
        <v>1</v>
      </c>
      <c r="AL3" s="1">
        <v>1</v>
      </c>
      <c r="AM3" s="296">
        <f>P31</f>
        <v>7.4999999999999997E-2</v>
      </c>
      <c r="AN3" s="295">
        <f>AB31</f>
        <v>1</v>
      </c>
      <c r="AO3" s="295">
        <f>1-AN3</f>
        <v>0</v>
      </c>
      <c r="AP3" s="244" t="str">
        <f>IF(AR3="","",1)</f>
        <v/>
      </c>
      <c r="AQ3" s="296">
        <f>P3</f>
        <v>150</v>
      </c>
      <c r="AR3" s="295" t="str">
        <f>S3</f>
        <v/>
      </c>
      <c r="AS3" s="9" t="e">
        <f>VLOOKUP(MAX(AP3:AP31),AP3:AP31,1)</f>
        <v>#N/A</v>
      </c>
      <c r="AT3" s="296" t="e">
        <f>IF(AS3="",150,VLOOKUP(AS3,$AP$3:$AR$31,2,FALSE))</f>
        <v>#N/A</v>
      </c>
      <c r="AU3" s="295" t="e">
        <f>IF(AS3="",1,VLOOKUP(AS3,$AP$3:$AR$31,3,FALSE))</f>
        <v>#N/A</v>
      </c>
      <c r="AV3" s="9"/>
      <c r="AW3" s="9"/>
      <c r="AX3" s="9" t="s">
        <v>23</v>
      </c>
      <c r="AY3" s="9" t="s">
        <v>281</v>
      </c>
    </row>
    <row r="4" spans="1:51">
      <c r="A4" s="1"/>
      <c r="B4" s="1"/>
      <c r="C4" s="1"/>
      <c r="D4" s="6" t="s">
        <v>5</v>
      </c>
      <c r="E4" s="297"/>
      <c r="F4" s="1"/>
      <c r="G4" s="2" t="s">
        <v>6</v>
      </c>
      <c r="H4" s="5"/>
      <c r="J4" s="310" t="s">
        <v>458</v>
      </c>
      <c r="K4" s="5"/>
      <c r="L4" s="1"/>
      <c r="M4" s="1">
        <v>2</v>
      </c>
      <c r="N4" s="244">
        <f t="shared" ref="N4:N31" si="4">IF(AF4="","",AF4)</f>
        <v>2</v>
      </c>
      <c r="O4" s="9" t="str">
        <f t="shared" si="0"/>
        <v>4.00"</v>
      </c>
      <c r="P4" s="132">
        <f t="shared" si="1"/>
        <v>100</v>
      </c>
      <c r="Q4" s="9" t="str">
        <f t="shared" ref="Q4:Q18" si="5">IF(C12="","",C12)</f>
        <v/>
      </c>
      <c r="R4" s="21" t="str">
        <f ca="1">IF(Q4="","",IF(Coarse_Cummalitive="x",Q4/Total_Weight,SUM(Q$3:Q4)/Total_Weight))</f>
        <v/>
      </c>
      <c r="S4" s="21" t="str">
        <f t="shared" ref="S4:S18" si="6">IF(R4="","",1-R4)</f>
        <v/>
      </c>
      <c r="T4" s="138" t="str">
        <f>IF(AND(Q4="",SUM($R$3:S4)&gt;0),S5+((S3-S5)*(P4-P5)/(P3-P5)),S4)</f>
        <v/>
      </c>
      <c r="U4" s="9">
        <f t="shared" ref="U4:U31" si="7">TYPE(T4)</f>
        <v>2</v>
      </c>
      <c r="V4" s="9" t="str">
        <f t="shared" ref="V4:V31" si="8">IF(OR(U4=1,U4=2),"",P4)</f>
        <v/>
      </c>
      <c r="W4" s="9" t="str">
        <f t="shared" si="2"/>
        <v/>
      </c>
      <c r="X4" s="291" t="str">
        <f t="shared" ref="X4:X31" si="9">IF(W4="","",S4)</f>
        <v/>
      </c>
      <c r="Y4" s="292" t="str">
        <f>IF(V4="","",MIN(X3:X4)-MAX(X5:X31))</f>
        <v/>
      </c>
      <c r="Z4" s="293" t="str">
        <f>IF(V4="","",MIN($W$3:W4)-MAX(W5:$W$31))</f>
        <v/>
      </c>
      <c r="AA4" s="294" t="str">
        <f>IF(V4="","",(V4-MAX(W5:$W$31))/Z4*Y4+MAX(X5:$X$31))</f>
        <v/>
      </c>
      <c r="AB4" s="295">
        <f t="shared" ref="AB4:AB31" si="10">IF(AA4="",IF(T4="",1,T4),AA4)</f>
        <v>1</v>
      </c>
      <c r="AC4" s="243">
        <f ca="1">IF(VLOOKUP($AC$1,Specs!$F$3:$AI$398,3,FALSE)="","",VLOOKUP($AC$1,Specs!$F$3:$AI$398,3,FALSE))</f>
        <v>1</v>
      </c>
      <c r="AD4" s="243">
        <f ca="1">IF(VLOOKUP($AC$2,Specs!$F$3:$AI$398,3,FALSE)="","",VLOOKUP($AC$2,Specs!$F$3:$AI$398,3,FALSE))</f>
        <v>0</v>
      </c>
      <c r="AE4" s="9">
        <f t="shared" si="3"/>
        <v>1</v>
      </c>
      <c r="AF4" s="244">
        <f>IF(AE4="","",MAX($AF$3:AF3)+1)</f>
        <v>2</v>
      </c>
      <c r="AG4" s="9">
        <f>IF(MIN($AG$3:AG3)-1&lt;=0,"",AG3-1)</f>
        <v>28</v>
      </c>
      <c r="AH4" s="290">
        <f t="shared" ref="AH4:AH31" si="11">IF(AG4="",200,VLOOKUP(AG4,$N$3:$AD$31,3,FALSE))</f>
        <v>0.09</v>
      </c>
      <c r="AI4" s="295">
        <f t="shared" ref="AI4:AI31" si="12">IF(AG4="",1,VLOOKUP(AG4,$N$3:$AD$31,16,FALSE))</f>
        <v>1</v>
      </c>
      <c r="AJ4" s="295">
        <f t="shared" ref="AJ4:AJ31" si="13">IF(AG4="",1,VLOOKUP(AG4,$N$3:$AD$31,17,FALSE))</f>
        <v>0</v>
      </c>
      <c r="AK4" s="295">
        <v>1</v>
      </c>
      <c r="AL4" s="1">
        <v>2</v>
      </c>
      <c r="AM4" s="296">
        <f>P30</f>
        <v>0.09</v>
      </c>
      <c r="AN4" s="295">
        <f>AB30</f>
        <v>1</v>
      </c>
      <c r="AO4" s="295">
        <f t="shared" ref="AO4:AO31" si="14">1-AN4</f>
        <v>0</v>
      </c>
      <c r="AP4" s="244" t="str">
        <f>IF(AR4="","",MAX($AP$3:AP3)+1)</f>
        <v/>
      </c>
      <c r="AQ4" s="296">
        <f t="shared" ref="AQ4:AQ31" si="15">P4</f>
        <v>100</v>
      </c>
      <c r="AR4" s="295" t="str">
        <f t="shared" ref="AR4:AR31" si="16">S4</f>
        <v/>
      </c>
      <c r="AS4" s="9" t="e">
        <f>IF(MIN($AS$3:AS3)-1&lt;=0,"",AS3-1)</f>
        <v>#N/A</v>
      </c>
      <c r="AT4" s="296" t="e">
        <f t="shared" ref="AT4:AT31" si="17">IF(AS4="",150,VLOOKUP(AS4,$AP$3:$AR$31,2,FALSE))</f>
        <v>#N/A</v>
      </c>
      <c r="AU4" s="295" t="e">
        <f t="shared" ref="AU4:AU31" si="18">IF(AS4="",1,VLOOKUP(AS4,$AP$3:$AR$31,3,FALSE))</f>
        <v>#N/A</v>
      </c>
      <c r="AV4" s="9"/>
      <c r="AW4" s="9">
        <f>MATCH(0.1,AB3:AB31,-1)</f>
        <v>29</v>
      </c>
      <c r="AX4" s="92">
        <f>VLOOKUP(AW4,M3:P31,4)</f>
        <v>7.4999999999999997E-2</v>
      </c>
      <c r="AY4" s="92">
        <f>VLOOKUP(AW4,M3:AB31,16)</f>
        <v>1</v>
      </c>
    </row>
    <row r="5" spans="1:51">
      <c r="A5" s="1"/>
      <c r="B5" s="1"/>
      <c r="C5" s="1"/>
      <c r="D5" s="6" t="s">
        <v>8</v>
      </c>
      <c r="E5" s="298"/>
      <c r="F5" s="1"/>
      <c r="G5" s="2" t="s">
        <v>9</v>
      </c>
      <c r="H5" s="5"/>
      <c r="J5" s="310" t="s">
        <v>460</v>
      </c>
      <c r="K5" s="5"/>
      <c r="L5" s="1"/>
      <c r="M5" s="1">
        <v>3</v>
      </c>
      <c r="N5" s="244">
        <f t="shared" si="4"/>
        <v>3</v>
      </c>
      <c r="O5" s="9" t="str">
        <f t="shared" si="0"/>
        <v>3.00"</v>
      </c>
      <c r="P5" s="132">
        <f t="shared" si="1"/>
        <v>75</v>
      </c>
      <c r="Q5" s="9" t="str">
        <f t="shared" si="5"/>
        <v/>
      </c>
      <c r="R5" s="21" t="str">
        <f ca="1">IF(Q5="","",IF(Coarse_Cummalitive="x",Q5/Total_Weight,SUM(Q$3:Q5)/Total_Weight))</f>
        <v/>
      </c>
      <c r="S5" s="21" t="str">
        <f t="shared" si="6"/>
        <v/>
      </c>
      <c r="T5" s="138" t="str">
        <f>IF(AND(Q5="",SUM($R$3:S5)&gt;0),S6+((S4-S6)*(P5-P6)/(P4-P6)),S5)</f>
        <v/>
      </c>
      <c r="U5" s="9">
        <f t="shared" si="7"/>
        <v>2</v>
      </c>
      <c r="V5" s="9" t="str">
        <f t="shared" si="8"/>
        <v/>
      </c>
      <c r="W5" s="9" t="str">
        <f t="shared" si="2"/>
        <v/>
      </c>
      <c r="X5" s="291" t="str">
        <f t="shared" si="9"/>
        <v/>
      </c>
      <c r="Y5" s="292" t="str">
        <f>IF(V5="","",MIN($X$3:X5)-MAX(X6:$X$31))</f>
        <v/>
      </c>
      <c r="Z5" s="293" t="str">
        <f>IF(V5="","",MIN($W$3:W5)-MAX(W6:$W$31))</f>
        <v/>
      </c>
      <c r="AA5" s="294" t="str">
        <f>IF(V5="","",(V5-MAX(W6:$W$31))/Z5*Y5+MAX(X6:$X$31))</f>
        <v/>
      </c>
      <c r="AB5" s="295">
        <f t="shared" si="10"/>
        <v>1</v>
      </c>
      <c r="AC5" s="243">
        <f ca="1">IF(VLOOKUP($AC$1,Specs!$F$3:$AI$398,4,FALSE)="","",VLOOKUP($AC$1,Specs!$F$3:$AI$398,4,FALSE))</f>
        <v>1</v>
      </c>
      <c r="AD5" s="243">
        <f ca="1">IF(VLOOKUP($AC$2,Specs!$F$3:$AI$398,4,FALSE)="","",VLOOKUP($AC$2,Specs!$F$3:$AI$398,4,FALSE))</f>
        <v>0</v>
      </c>
      <c r="AE5" s="9">
        <f t="shared" si="3"/>
        <v>1</v>
      </c>
      <c r="AF5" s="244">
        <f>IF(AE5="","",MAX($AF$3:AF4)+1)</f>
        <v>3</v>
      </c>
      <c r="AG5" s="9">
        <f>IF(MIN($AG$3:AG4)-1&lt;=0,"",AG4-1)</f>
        <v>27</v>
      </c>
      <c r="AH5" s="290">
        <f t="shared" si="11"/>
        <v>0.106</v>
      </c>
      <c r="AI5" s="295">
        <f t="shared" si="12"/>
        <v>1</v>
      </c>
      <c r="AJ5" s="295">
        <f t="shared" si="13"/>
        <v>0</v>
      </c>
      <c r="AK5" s="295">
        <v>1</v>
      </c>
      <c r="AL5" s="1">
        <v>3</v>
      </c>
      <c r="AM5" s="296">
        <f>P29</f>
        <v>0.106</v>
      </c>
      <c r="AN5" s="295">
        <f>AB29</f>
        <v>1</v>
      </c>
      <c r="AO5" s="295">
        <f t="shared" si="14"/>
        <v>0</v>
      </c>
      <c r="AP5" s="244" t="str">
        <f>IF(AR5="","",MAX($AP$3:AP4)+1)</f>
        <v/>
      </c>
      <c r="AQ5" s="296">
        <f t="shared" si="15"/>
        <v>75</v>
      </c>
      <c r="AR5" s="295" t="str">
        <f t="shared" si="16"/>
        <v/>
      </c>
      <c r="AS5" s="9" t="e">
        <f>IF(MIN($AS$3:AS4)-1&lt;=0,"",AS4-1)</f>
        <v>#N/A</v>
      </c>
      <c r="AT5" s="296" t="e">
        <f t="shared" si="17"/>
        <v>#N/A</v>
      </c>
      <c r="AU5" s="295" t="e">
        <f t="shared" si="18"/>
        <v>#N/A</v>
      </c>
      <c r="AV5" s="132"/>
      <c r="AW5" s="9" t="e">
        <f>MATCH(0.1,AN3:AN31,1)</f>
        <v>#N/A</v>
      </c>
      <c r="AX5" s="92">
        <f>IF(ISNA(MATCH(0.1,AN3:AN31,1)),0,VLOOKUP(AW5,AL3:AN31,2))</f>
        <v>0</v>
      </c>
      <c r="AY5" s="92">
        <f>IF(ISNA(MATCH(0.1,AN3:AN31,1)),0,VLOOKUP(AW5,AL3:AN31,3))</f>
        <v>0</v>
      </c>
    </row>
    <row r="6" spans="1:51" ht="12.75">
      <c r="A6" s="1"/>
      <c r="B6" s="1"/>
      <c r="C6" s="253" t="s">
        <v>10</v>
      </c>
      <c r="D6" s="137"/>
      <c r="E6" s="297"/>
      <c r="F6" s="1"/>
      <c r="G6" s="1"/>
      <c r="H6" s="1"/>
      <c r="I6" s="35"/>
      <c r="J6" s="1"/>
      <c r="K6" s="1"/>
      <c r="L6" s="1"/>
      <c r="M6" s="1">
        <v>4</v>
      </c>
      <c r="N6" s="244">
        <f t="shared" si="4"/>
        <v>4</v>
      </c>
      <c r="O6" s="9" t="str">
        <f t="shared" si="0"/>
        <v>2.50"</v>
      </c>
      <c r="P6" s="132">
        <f t="shared" si="1"/>
        <v>63</v>
      </c>
      <c r="Q6" s="9" t="str">
        <f t="shared" si="5"/>
        <v/>
      </c>
      <c r="R6" s="21" t="str">
        <f ca="1">IF(Q6="","",IF(Coarse_Cummalitive="x",Q6/Total_Weight,SUM(Q$3:Q6)/Total_Weight))</f>
        <v/>
      </c>
      <c r="S6" s="21" t="str">
        <f t="shared" si="6"/>
        <v/>
      </c>
      <c r="T6" s="138" t="str">
        <f>IF(AND(Q6="",SUM($R$3:S6)&gt;0),S7+((S5-S7)*(P6-P7)/(P5-P7)),S6)</f>
        <v/>
      </c>
      <c r="U6" s="9">
        <f t="shared" si="7"/>
        <v>2</v>
      </c>
      <c r="V6" s="289" t="str">
        <f t="shared" si="8"/>
        <v/>
      </c>
      <c r="W6" s="9" t="str">
        <f t="shared" si="2"/>
        <v/>
      </c>
      <c r="X6" s="291" t="str">
        <f t="shared" si="9"/>
        <v/>
      </c>
      <c r="Y6" s="292" t="str">
        <f>IF(V6="","",MIN($X$3:X6)-MAX(X7:$X$31))</f>
        <v/>
      </c>
      <c r="Z6" s="293" t="str">
        <f>IF(V6="","",MIN($W$3:W6)-MAX(W7:$W$31))</f>
        <v/>
      </c>
      <c r="AA6" s="294" t="str">
        <f>IF(V6="","",(V6-MAX(W7:$W$31))/Z6*Y6+MAX(X7:$X$31))</f>
        <v/>
      </c>
      <c r="AB6" s="295">
        <f t="shared" si="10"/>
        <v>1</v>
      </c>
      <c r="AC6" s="243">
        <f ca="1">IF(VLOOKUP($AC$1,Specs!$F$3:$AI$398,5,FALSE)="","",VLOOKUP($AC$1,Specs!$F$3:$AI$398,5,FALSE))</f>
        <v>1</v>
      </c>
      <c r="AD6" s="243">
        <f ca="1">IF(VLOOKUP($AC$2,Specs!$F$3:$AI$398,5,FALSE)="","",VLOOKUP($AC$2,Specs!$F$3:$AI$398,5,FALSE))</f>
        <v>0</v>
      </c>
      <c r="AE6" s="9">
        <f t="shared" si="3"/>
        <v>1</v>
      </c>
      <c r="AF6" s="244">
        <f>IF(AE6="","",MAX($AF$3:AF5)+1)</f>
        <v>4</v>
      </c>
      <c r="AG6" s="9">
        <f>IF(MIN($AG$3:AG5)-1&lt;=0,"",AG5-1)</f>
        <v>26</v>
      </c>
      <c r="AH6" s="290">
        <f t="shared" si="11"/>
        <v>0.15</v>
      </c>
      <c r="AI6" s="295">
        <f t="shared" si="12"/>
        <v>1</v>
      </c>
      <c r="AJ6" s="295">
        <f t="shared" si="13"/>
        <v>0</v>
      </c>
      <c r="AK6" s="295">
        <v>1</v>
      </c>
      <c r="AL6" s="1">
        <v>4</v>
      </c>
      <c r="AM6" s="296">
        <f>P28</f>
        <v>0.15</v>
      </c>
      <c r="AN6" s="295">
        <f>AB28</f>
        <v>1</v>
      </c>
      <c r="AO6" s="295">
        <f t="shared" si="14"/>
        <v>0</v>
      </c>
      <c r="AP6" s="244" t="str">
        <f>IF(AR6="","",MAX($AP$3:AP5)+1)</f>
        <v/>
      </c>
      <c r="AQ6" s="296">
        <f t="shared" si="15"/>
        <v>63</v>
      </c>
      <c r="AR6" s="295" t="str">
        <f t="shared" si="16"/>
        <v/>
      </c>
      <c r="AS6" s="9" t="e">
        <f>IF(MIN($AS$3:AS5)-1&lt;=0,"",AS5-1)</f>
        <v>#N/A</v>
      </c>
      <c r="AT6" s="296" t="e">
        <f t="shared" si="17"/>
        <v>#N/A</v>
      </c>
      <c r="AU6" s="295" t="e">
        <f t="shared" si="18"/>
        <v>#N/A</v>
      </c>
      <c r="AV6" s="1"/>
      <c r="AW6" s="9">
        <f>MATCH(0.3,AB3:AB31,-1)</f>
        <v>29</v>
      </c>
      <c r="AX6" s="92">
        <f>VLOOKUP(AW6,M3:P31,4)</f>
        <v>7.4999999999999997E-2</v>
      </c>
      <c r="AY6" s="92">
        <f>VLOOKUP(AW6,M3:AB31,16)</f>
        <v>1</v>
      </c>
    </row>
    <row r="7" spans="1:51">
      <c r="A7" s="1"/>
      <c r="B7" s="1"/>
      <c r="C7" s="1"/>
      <c r="D7" s="137" t="s">
        <v>12</v>
      </c>
      <c r="E7" s="13"/>
      <c r="F7" s="1"/>
      <c r="G7" s="1"/>
      <c r="H7" s="1"/>
      <c r="I7" s="8"/>
      <c r="J7" s="9"/>
      <c r="K7" s="9"/>
      <c r="L7" s="9"/>
      <c r="M7" s="1">
        <v>5</v>
      </c>
      <c r="N7" s="244">
        <f t="shared" si="4"/>
        <v>5</v>
      </c>
      <c r="O7" s="9" t="str">
        <f t="shared" si="0"/>
        <v>2.00"</v>
      </c>
      <c r="P7" s="132">
        <f t="shared" si="1"/>
        <v>50</v>
      </c>
      <c r="Q7" s="9" t="str">
        <f t="shared" si="5"/>
        <v/>
      </c>
      <c r="R7" s="21" t="str">
        <f ca="1">IF(Q7="","",IF(Coarse_Cummalitive="x",Q7/Total_Weight,SUM(Q$3:Q7)/Total_Weight))</f>
        <v/>
      </c>
      <c r="S7" s="21" t="str">
        <f t="shared" si="6"/>
        <v/>
      </c>
      <c r="T7" s="138" t="str">
        <f>IF(AND(Q7="",SUM($R$3:S7)&gt;0),S8+((S6-S8)*(P7-P8)/(P6-P8)),S7)</f>
        <v/>
      </c>
      <c r="U7" s="9">
        <f t="shared" si="7"/>
        <v>2</v>
      </c>
      <c r="V7" s="289" t="str">
        <f t="shared" si="8"/>
        <v/>
      </c>
      <c r="W7" s="9" t="str">
        <f t="shared" si="2"/>
        <v/>
      </c>
      <c r="X7" s="291" t="str">
        <f t="shared" si="9"/>
        <v/>
      </c>
      <c r="Y7" s="292" t="str">
        <f>IF(V7="","",MIN($X$3:X7)-MAX(X8:$X$31))</f>
        <v/>
      </c>
      <c r="Z7" s="293" t="str">
        <f>IF(V7="","",MIN($W$3:W7)-MAX(W8:$W$31))</f>
        <v/>
      </c>
      <c r="AA7" s="294" t="str">
        <f>IF(V7="","",(V7-MAX(W8:$W$31))/Z7*Y7+MAX(X8:$X$31))</f>
        <v/>
      </c>
      <c r="AB7" s="295">
        <f t="shared" si="10"/>
        <v>1</v>
      </c>
      <c r="AC7" s="243">
        <f ca="1">IF(VLOOKUP($AC$1,Specs!$F$3:$AI$398,6,FALSE)="","",VLOOKUP($AC$1,Specs!$F$3:$AI$398,6,FALSE))</f>
        <v>1</v>
      </c>
      <c r="AD7" s="243">
        <f ca="1">IF(VLOOKUP($AC$2,Specs!$F$3:$AI$398,6,FALSE)="","",VLOOKUP($AC$2,Specs!$F$3:$AI$398,6,FALSE))</f>
        <v>0</v>
      </c>
      <c r="AE7" s="9">
        <f t="shared" si="3"/>
        <v>1</v>
      </c>
      <c r="AF7" s="244">
        <f>IF(AE7="","",MAX($AF$3:AF6)+1)</f>
        <v>5</v>
      </c>
      <c r="AG7" s="9">
        <f>IF(MIN($AG$3:AG6)-1&lt;=0,"",AG6-1)</f>
        <v>25</v>
      </c>
      <c r="AH7" s="290">
        <f t="shared" si="11"/>
        <v>0.18</v>
      </c>
      <c r="AI7" s="295">
        <f t="shared" si="12"/>
        <v>1</v>
      </c>
      <c r="AJ7" s="295">
        <f t="shared" si="13"/>
        <v>0</v>
      </c>
      <c r="AK7" s="295">
        <v>1</v>
      </c>
      <c r="AL7" s="1">
        <v>5</v>
      </c>
      <c r="AM7" s="296">
        <f>P27</f>
        <v>0.18</v>
      </c>
      <c r="AN7" s="295">
        <f>AB27</f>
        <v>1</v>
      </c>
      <c r="AO7" s="295">
        <f t="shared" si="14"/>
        <v>0</v>
      </c>
      <c r="AP7" s="244" t="str">
        <f>IF(AR7="","",MAX($AP$3:AP6)+1)</f>
        <v/>
      </c>
      <c r="AQ7" s="296">
        <f t="shared" si="15"/>
        <v>50</v>
      </c>
      <c r="AR7" s="295" t="str">
        <f t="shared" si="16"/>
        <v/>
      </c>
      <c r="AS7" s="9" t="e">
        <f>IF(MIN($AS$3:AS6)-1&lt;=0,"",AS6-1)</f>
        <v>#N/A</v>
      </c>
      <c r="AT7" s="296" t="e">
        <f t="shared" si="17"/>
        <v>#N/A</v>
      </c>
      <c r="AU7" s="295" t="e">
        <f t="shared" si="18"/>
        <v>#N/A</v>
      </c>
      <c r="AV7" s="9"/>
      <c r="AW7" s="9" t="e">
        <f>MATCH(0.3,AN3:AN31,1)</f>
        <v>#N/A</v>
      </c>
      <c r="AX7" s="92">
        <f>IF(ISNA(MATCH(0.3,AN3:AN31,1)),0,VLOOKUP(AW7,AL3:AN31,2))</f>
        <v>0</v>
      </c>
      <c r="AY7" s="92">
        <f>IF(ISNA(MATCH(0.3,AN3:AN31,1)),0,VLOOKUP(AW7,AL3:AN31,3))</f>
        <v>0</v>
      </c>
    </row>
    <row r="8" spans="1:51">
      <c r="A8" s="15"/>
      <c r="B8" s="15"/>
      <c r="C8" s="16" t="str">
        <f ca="1">IF(Coarse_Cummalitive="x","Cumulative","Individual")</f>
        <v>Individual</v>
      </c>
      <c r="D8" s="17" t="s">
        <v>15</v>
      </c>
      <c r="E8" s="17" t="s">
        <v>15</v>
      </c>
      <c r="F8" s="17" t="s">
        <v>16</v>
      </c>
      <c r="G8" s="17"/>
      <c r="H8" s="18"/>
      <c r="I8" s="10"/>
      <c r="J8" s="10"/>
      <c r="K8" s="9"/>
      <c r="L8" s="9"/>
      <c r="M8" s="1">
        <v>6</v>
      </c>
      <c r="N8" s="244">
        <f t="shared" si="4"/>
        <v>6</v>
      </c>
      <c r="O8" s="9" t="str">
        <f t="shared" si="0"/>
        <v>1.75"</v>
      </c>
      <c r="P8" s="132">
        <f t="shared" si="1"/>
        <v>45</v>
      </c>
      <c r="Q8" s="9" t="str">
        <f t="shared" si="5"/>
        <v/>
      </c>
      <c r="R8" s="21" t="str">
        <f ca="1">IF(Q8="","",IF(Coarse_Cummalitive="x",Q8/Total_Weight,SUM(Q$3:Q8)/Total_Weight))</f>
        <v/>
      </c>
      <c r="S8" s="21" t="str">
        <f t="shared" si="6"/>
        <v/>
      </c>
      <c r="T8" s="138" t="str">
        <f>IF(AND(Q8="",SUM($R$3:S8)&gt;0),S9+((S7-S9)*(P8-P9)/(P7-P9)),S8)</f>
        <v/>
      </c>
      <c r="U8" s="9">
        <f t="shared" si="7"/>
        <v>2</v>
      </c>
      <c r="V8" s="289" t="str">
        <f t="shared" si="8"/>
        <v/>
      </c>
      <c r="W8" s="9" t="str">
        <f t="shared" si="2"/>
        <v/>
      </c>
      <c r="X8" s="291" t="str">
        <f t="shared" si="9"/>
        <v/>
      </c>
      <c r="Y8" s="292" t="str">
        <f>IF(V8="","",MIN($X$3:X8)-MAX(X9:$X$31))</f>
        <v/>
      </c>
      <c r="Z8" s="293" t="str">
        <f>IF(V8="","",MIN($W$3:W8)-MAX(W9:$W$31))</f>
        <v/>
      </c>
      <c r="AA8" s="294" t="str">
        <f>IF(V8="","",(V8-MAX(W9:$W$31))/Z8*Y8+MAX(X9:$X$31))</f>
        <v/>
      </c>
      <c r="AB8" s="295">
        <f t="shared" si="10"/>
        <v>1</v>
      </c>
      <c r="AC8" s="243">
        <f ca="1">IF(VLOOKUP($AC$1,Specs!$F$3:$AI$398,7,FALSE)="","",VLOOKUP($AC$1,Specs!$F$3:$AI$398,7,FALSE))</f>
        <v>1</v>
      </c>
      <c r="AD8" s="243">
        <f ca="1">IF(VLOOKUP($AC$2,Specs!$F$3:$AI$398,7,FALSE)="","",VLOOKUP($AC$2,Specs!$F$3:$AI$398,7,FALSE))</f>
        <v>0</v>
      </c>
      <c r="AE8" s="9">
        <f t="shared" si="3"/>
        <v>1</v>
      </c>
      <c r="AF8" s="244">
        <f>IF(AE8="","",MAX($AF$3:AF7)+1)</f>
        <v>6</v>
      </c>
      <c r="AG8" s="9">
        <f>IF(MIN($AG$3:AG7)-1&lt;=0,"",AG7-1)</f>
        <v>24</v>
      </c>
      <c r="AH8" s="290">
        <f t="shared" si="11"/>
        <v>0.25</v>
      </c>
      <c r="AI8" s="295">
        <f t="shared" si="12"/>
        <v>1</v>
      </c>
      <c r="AJ8" s="295">
        <f t="shared" si="13"/>
        <v>0</v>
      </c>
      <c r="AK8" s="295">
        <v>1</v>
      </c>
      <c r="AL8" s="1">
        <v>6</v>
      </c>
      <c r="AM8" s="296">
        <f>P26</f>
        <v>0.25</v>
      </c>
      <c r="AN8" s="295">
        <f>AB26</f>
        <v>1</v>
      </c>
      <c r="AO8" s="295">
        <f t="shared" si="14"/>
        <v>0</v>
      </c>
      <c r="AP8" s="244" t="str">
        <f>IF(AR8="","",MAX($AP$3:AP7)+1)</f>
        <v/>
      </c>
      <c r="AQ8" s="296">
        <f t="shared" si="15"/>
        <v>45</v>
      </c>
      <c r="AR8" s="295" t="str">
        <f t="shared" si="16"/>
        <v/>
      </c>
      <c r="AS8" s="9" t="e">
        <f>IF(MIN($AS$3:AS7)-1&lt;=0,"",AS7-1)</f>
        <v>#N/A</v>
      </c>
      <c r="AT8" s="296" t="e">
        <f t="shared" si="17"/>
        <v>#N/A</v>
      </c>
      <c r="AU8" s="295" t="e">
        <f t="shared" si="18"/>
        <v>#N/A</v>
      </c>
      <c r="AV8" s="9"/>
      <c r="AW8" s="9">
        <f>MATCH(0.6,AB3:AB31,-1)</f>
        <v>29</v>
      </c>
      <c r="AX8" s="92">
        <f>VLOOKUP(AW8,M3:P31,4)</f>
        <v>7.4999999999999997E-2</v>
      </c>
      <c r="AY8" s="92">
        <f>VLOOKUP(AW8,M3:AB31,16)</f>
        <v>1</v>
      </c>
    </row>
    <row r="9" spans="1:51">
      <c r="A9" s="19" t="s">
        <v>18</v>
      </c>
      <c r="B9" s="44" t="s">
        <v>23</v>
      </c>
      <c r="C9" s="17" t="s">
        <v>19</v>
      </c>
      <c r="D9" s="17" t="s">
        <v>20</v>
      </c>
      <c r="E9" s="17" t="s">
        <v>21</v>
      </c>
      <c r="F9" s="17" t="s">
        <v>21</v>
      </c>
      <c r="G9" s="18" t="s">
        <v>22</v>
      </c>
      <c r="H9" s="18"/>
      <c r="I9" s="1"/>
      <c r="J9" s="11" t="s">
        <v>11</v>
      </c>
      <c r="K9" s="12" t="str">
        <f>IF(ISERROR(AF2),"No Data",AF2)</f>
        <v>Yes</v>
      </c>
      <c r="L9" s="1"/>
      <c r="M9" s="1">
        <v>7</v>
      </c>
      <c r="N9" s="244">
        <f t="shared" si="4"/>
        <v>7</v>
      </c>
      <c r="O9" s="9" t="str">
        <f t="shared" si="0"/>
        <v>1.50"</v>
      </c>
      <c r="P9" s="132">
        <f t="shared" si="1"/>
        <v>37.5</v>
      </c>
      <c r="Q9" s="9" t="str">
        <f t="shared" si="5"/>
        <v/>
      </c>
      <c r="R9" s="21" t="str">
        <f ca="1">IF(Q9="","",IF(Coarse_Cummalitive="x",Q9/Total_Weight,SUM(Q$3:Q9)/Total_Weight))</f>
        <v/>
      </c>
      <c r="S9" s="21" t="str">
        <f t="shared" si="6"/>
        <v/>
      </c>
      <c r="T9" s="138" t="str">
        <f>IF(AND(Q9="",SUM($R$3:S9)&gt;0),S10+((S8-S10)*(P9-P10)/(P8-P10)),S9)</f>
        <v/>
      </c>
      <c r="U9" s="9">
        <f t="shared" si="7"/>
        <v>2</v>
      </c>
      <c r="V9" s="289" t="str">
        <f t="shared" si="8"/>
        <v/>
      </c>
      <c r="W9" s="9" t="str">
        <f t="shared" si="2"/>
        <v/>
      </c>
      <c r="X9" s="291" t="str">
        <f t="shared" si="9"/>
        <v/>
      </c>
      <c r="Y9" s="292" t="str">
        <f>IF(V9="","",MIN($X$3:X9)-MAX(X10:$X$31))</f>
        <v/>
      </c>
      <c r="Z9" s="293" t="str">
        <f>IF(V9="","",MIN($W$3:W9)-MAX(W10:$W$31))</f>
        <v/>
      </c>
      <c r="AA9" s="294" t="str">
        <f>IF(V9="","",(V9-MAX(W10:$W$31))/Z9*Y9+MAX(X10:$X$31))</f>
        <v/>
      </c>
      <c r="AB9" s="295">
        <f t="shared" si="10"/>
        <v>1</v>
      </c>
      <c r="AC9" s="243">
        <f ca="1">IF(VLOOKUP($AC$1,Specs!$F$3:$AI$398,8,FALSE)="","",VLOOKUP($AC$1,Specs!$F$3:$AI$398,8,FALSE))</f>
        <v>1</v>
      </c>
      <c r="AD9" s="243">
        <f ca="1">IF(VLOOKUP($AC$2,Specs!$F$3:$AI$398,8,FALSE)="","",VLOOKUP($AC$2,Specs!$F$3:$AI$398,8,FALSE))</f>
        <v>0</v>
      </c>
      <c r="AE9" s="9">
        <f t="shared" si="3"/>
        <v>1</v>
      </c>
      <c r="AF9" s="244">
        <f>IF(AE9="","",MAX($AF$3:AF8)+1)</f>
        <v>7</v>
      </c>
      <c r="AG9" s="9">
        <f>IF(MIN($AG$3:AG8)-1&lt;=0,"",AG8-1)</f>
        <v>23</v>
      </c>
      <c r="AH9" s="290">
        <f t="shared" si="11"/>
        <v>0.3</v>
      </c>
      <c r="AI9" s="295">
        <f t="shared" si="12"/>
        <v>1</v>
      </c>
      <c r="AJ9" s="295">
        <f t="shared" si="13"/>
        <v>0</v>
      </c>
      <c r="AK9" s="295">
        <v>1</v>
      </c>
      <c r="AL9" s="1">
        <v>7</v>
      </c>
      <c r="AM9" s="296">
        <f>P25</f>
        <v>0.3</v>
      </c>
      <c r="AN9" s="295">
        <f>AB25</f>
        <v>1</v>
      </c>
      <c r="AO9" s="295">
        <f t="shared" si="14"/>
        <v>0</v>
      </c>
      <c r="AP9" s="244" t="str">
        <f>IF(AR9="","",MAX($AP$3:AP8)+1)</f>
        <v/>
      </c>
      <c r="AQ9" s="296">
        <f t="shared" si="15"/>
        <v>37.5</v>
      </c>
      <c r="AR9" s="295" t="str">
        <f t="shared" si="16"/>
        <v/>
      </c>
      <c r="AS9" s="9" t="e">
        <f>IF(MIN($AS$3:AS8)-1&lt;=0,"",AS8-1)</f>
        <v>#N/A</v>
      </c>
      <c r="AT9" s="296" t="e">
        <f t="shared" si="17"/>
        <v>#N/A</v>
      </c>
      <c r="AU9" s="295" t="e">
        <f t="shared" si="18"/>
        <v>#N/A</v>
      </c>
      <c r="AV9" s="9"/>
      <c r="AW9" s="9" t="e">
        <f>MATCH(0.6,AN3:AN31,1)</f>
        <v>#N/A</v>
      </c>
      <c r="AX9" s="92">
        <f>IF(ISNA(MATCH(0.6,AN3:AN31,1)),0,VLOOKUP(AW9,AL3:AN31,2))</f>
        <v>0</v>
      </c>
      <c r="AY9" s="92">
        <f>IF(ISNA(MATCH(0.6,AN3:AN31,1)),0,VLOOKUP(AW9,AL3:AN31,3))</f>
        <v>0</v>
      </c>
    </row>
    <row r="10" spans="1:51">
      <c r="A10" s="17" t="s">
        <v>80</v>
      </c>
      <c r="B10" s="17" t="s">
        <v>56</v>
      </c>
      <c r="C10" s="17" t="s">
        <v>24</v>
      </c>
      <c r="D10" s="17" t="s">
        <v>19</v>
      </c>
      <c r="E10" s="17" t="s">
        <v>25</v>
      </c>
      <c r="F10" s="17" t="s">
        <v>25</v>
      </c>
      <c r="G10" s="18" t="s">
        <v>27</v>
      </c>
      <c r="H10" s="18" t="s">
        <v>26</v>
      </c>
      <c r="I10" s="1"/>
      <c r="J10" s="11"/>
      <c r="K10" s="14"/>
      <c r="L10" s="1"/>
      <c r="M10" s="1">
        <v>8</v>
      </c>
      <c r="N10" s="244">
        <f t="shared" si="4"/>
        <v>8</v>
      </c>
      <c r="O10" s="9" t="str">
        <f t="shared" si="0"/>
        <v>1.25"</v>
      </c>
      <c r="P10" s="132">
        <f t="shared" si="1"/>
        <v>31.5</v>
      </c>
      <c r="Q10" s="9" t="str">
        <f t="shared" si="5"/>
        <v/>
      </c>
      <c r="R10" s="21" t="str">
        <f ca="1">IF(Q10="","",IF(Coarse_Cummalitive="x",Q10/Total_Weight,SUM(Q$3:Q10)/Total_Weight))</f>
        <v/>
      </c>
      <c r="S10" s="21" t="str">
        <f t="shared" si="6"/>
        <v/>
      </c>
      <c r="T10" s="138" t="str">
        <f>IF(AND(Q10="",SUM($R$3:S10)&gt;0),S11+((S9-S11)*(P10-P11)/(P9-P11)),S10)</f>
        <v/>
      </c>
      <c r="U10" s="9">
        <f t="shared" si="7"/>
        <v>2</v>
      </c>
      <c r="V10" s="289" t="str">
        <f t="shared" si="8"/>
        <v/>
      </c>
      <c r="W10" s="9" t="str">
        <f t="shared" si="2"/>
        <v/>
      </c>
      <c r="X10" s="291" t="str">
        <f t="shared" si="9"/>
        <v/>
      </c>
      <c r="Y10" s="292" t="str">
        <f>IF(V10="","",MIN($X$3:X10)-MAX(X11:$X$31))</f>
        <v/>
      </c>
      <c r="Z10" s="293" t="str">
        <f>IF(V10="","",MIN($W$3:W10)-MAX(W11:$W$31))</f>
        <v/>
      </c>
      <c r="AA10" s="294" t="str">
        <f>IF(V10="","",(V10-MAX(W11:$W$31))/Z10*Y10+MAX(X11:$X$31))</f>
        <v/>
      </c>
      <c r="AB10" s="295">
        <f t="shared" si="10"/>
        <v>1</v>
      </c>
      <c r="AC10" s="243">
        <f ca="1">IF(VLOOKUP($AC$1,Specs!$F$3:$AI$398,9,FALSE)="","",VLOOKUP($AC$1,Specs!$F$3:$AI$398,9,FALSE))</f>
        <v>1</v>
      </c>
      <c r="AD10" s="243">
        <f ca="1">IF(VLOOKUP($AC$2,Specs!$F$3:$AI$398,9,FALSE)="","",VLOOKUP($AC$2,Specs!$F$3:$AI$398,9,FALSE))</f>
        <v>0</v>
      </c>
      <c r="AE10" s="9">
        <f t="shared" si="3"/>
        <v>1</v>
      </c>
      <c r="AF10" s="244">
        <f>IF(AE10="","",MAX($AF$3:AF9)+1)</f>
        <v>8</v>
      </c>
      <c r="AG10" s="9">
        <f>IF(MIN($AG$3:AG9)-1&lt;=0,"",AG9-1)</f>
        <v>22</v>
      </c>
      <c r="AH10" s="290">
        <f t="shared" si="11"/>
        <v>0.42499999999999999</v>
      </c>
      <c r="AI10" s="295">
        <f t="shared" si="12"/>
        <v>1</v>
      </c>
      <c r="AJ10" s="295">
        <f t="shared" si="13"/>
        <v>0</v>
      </c>
      <c r="AK10" s="295">
        <v>1</v>
      </c>
      <c r="AL10" s="1">
        <v>8</v>
      </c>
      <c r="AM10" s="296">
        <f>P24</f>
        <v>0.42499999999999999</v>
      </c>
      <c r="AN10" s="295">
        <f>AB24</f>
        <v>1</v>
      </c>
      <c r="AO10" s="295">
        <f t="shared" si="14"/>
        <v>0</v>
      </c>
      <c r="AP10" s="244" t="str">
        <f>IF(AR10="","",MAX($AP$3:AP9)+1)</f>
        <v/>
      </c>
      <c r="AQ10" s="296">
        <f t="shared" si="15"/>
        <v>31.5</v>
      </c>
      <c r="AR10" s="295" t="str">
        <f t="shared" si="16"/>
        <v/>
      </c>
      <c r="AS10" s="9" t="e">
        <f>IF(MIN($AS$3:AS9)-1&lt;=0,"",AS9-1)</f>
        <v>#N/A</v>
      </c>
      <c r="AT10" s="296" t="e">
        <f t="shared" si="17"/>
        <v>#N/A</v>
      </c>
      <c r="AU10" s="295" t="e">
        <f t="shared" si="18"/>
        <v>#N/A</v>
      </c>
      <c r="AV10" s="9"/>
      <c r="AW10" s="9" t="s">
        <v>282</v>
      </c>
      <c r="AX10" s="9" t="s">
        <v>282</v>
      </c>
      <c r="AY10" s="9" t="s">
        <v>282</v>
      </c>
    </row>
    <row r="11" spans="1:51">
      <c r="A11" s="17" t="s">
        <v>83</v>
      </c>
      <c r="B11" s="45">
        <v>150</v>
      </c>
      <c r="C11" s="134"/>
      <c r="D11" s="20" t="str">
        <f>IF(ISERROR(R3),"",R3)</f>
        <v/>
      </c>
      <c r="E11" s="20" t="str">
        <f t="shared" ref="E11:E26" si="19">IF(ISERROR(S3),"",IF(S3=0,"",S3))</f>
        <v/>
      </c>
      <c r="F11" s="22">
        <f>IF(ISERROR(AB3),"",AB3)</f>
        <v>1</v>
      </c>
      <c r="G11" s="243" t="str">
        <f>IF($AB$1=1, "",AC3)</f>
        <v/>
      </c>
      <c r="H11" s="243" t="str">
        <f>IF($AB$1=1, "",AD3)</f>
        <v/>
      </c>
      <c r="I11" s="1"/>
      <c r="J11" s="1"/>
      <c r="K11" s="8" t="s">
        <v>14</v>
      </c>
      <c r="L11" s="1"/>
      <c r="M11" s="1">
        <v>9</v>
      </c>
      <c r="N11" s="244">
        <f t="shared" si="4"/>
        <v>9</v>
      </c>
      <c r="O11" s="9" t="str">
        <f t="shared" si="0"/>
        <v>1.00"</v>
      </c>
      <c r="P11" s="132">
        <f t="shared" si="1"/>
        <v>25</v>
      </c>
      <c r="Q11" s="9" t="str">
        <f t="shared" si="5"/>
        <v/>
      </c>
      <c r="R11" s="21" t="str">
        <f ca="1">IF(Q11="","",IF(Coarse_Cummalitive="x",Q11/Total_Weight,SUM(Q$3:Q11)/Total_Weight))</f>
        <v/>
      </c>
      <c r="S11" s="21" t="str">
        <f t="shared" si="6"/>
        <v/>
      </c>
      <c r="T11" s="138" t="str">
        <f>IF(AND(Q11="",SUM($R$3:S11)&gt;0),S12+((S10-S12)*(P11-P12)/(P10-P12)),S11)</f>
        <v/>
      </c>
      <c r="U11" s="9">
        <f t="shared" si="7"/>
        <v>2</v>
      </c>
      <c r="V11" s="289" t="str">
        <f t="shared" si="8"/>
        <v/>
      </c>
      <c r="W11" s="9" t="str">
        <f t="shared" si="2"/>
        <v/>
      </c>
      <c r="X11" s="291" t="str">
        <f t="shared" si="9"/>
        <v/>
      </c>
      <c r="Y11" s="292" t="str">
        <f>IF(V11="","",MIN($X$3:X11)-MAX(X12:$X$31))</f>
        <v/>
      </c>
      <c r="Z11" s="293" t="str">
        <f>IF(V11="","",MIN($W$3:W11)-MAX(W12:$W$31))</f>
        <v/>
      </c>
      <c r="AA11" s="294" t="str">
        <f>IF(V11="","",(V11-MAX(W12:$W$31))/Z11*Y11+MAX(X12:$X$31))</f>
        <v/>
      </c>
      <c r="AB11" s="295">
        <f t="shared" si="10"/>
        <v>1</v>
      </c>
      <c r="AC11" s="243">
        <f ca="1">IF(VLOOKUP($AC$1,Specs!$F$3:$AI$398,10,FALSE)="","",VLOOKUP($AC$1,Specs!$F$3:$AI$398,10,FALSE))</f>
        <v>1</v>
      </c>
      <c r="AD11" s="243">
        <f ca="1">IF(VLOOKUP($AC$2,Specs!$F$3:$AI$398,10,FALSE)="","",VLOOKUP($AC$2,Specs!$F$3:$AI$398,10,FALSE))</f>
        <v>0</v>
      </c>
      <c r="AE11" s="9">
        <f t="shared" si="3"/>
        <v>1</v>
      </c>
      <c r="AF11" s="244">
        <f>IF(AE11="","",MAX($AF$3:AF10)+1)</f>
        <v>9</v>
      </c>
      <c r="AG11" s="9">
        <f>IF(MIN($AG$3:AG10)-1&lt;=0,"",AG10-1)</f>
        <v>21</v>
      </c>
      <c r="AH11" s="290">
        <f t="shared" si="11"/>
        <v>0.6</v>
      </c>
      <c r="AI11" s="295">
        <f t="shared" si="12"/>
        <v>1</v>
      </c>
      <c r="AJ11" s="295">
        <f t="shared" si="13"/>
        <v>0</v>
      </c>
      <c r="AK11" s="295">
        <v>1</v>
      </c>
      <c r="AL11" s="1">
        <v>9</v>
      </c>
      <c r="AM11" s="296">
        <f>P23</f>
        <v>0.6</v>
      </c>
      <c r="AN11" s="295">
        <f>AB23</f>
        <v>1</v>
      </c>
      <c r="AO11" s="295">
        <f t="shared" si="14"/>
        <v>0</v>
      </c>
      <c r="AP11" s="244" t="str">
        <f>IF(AR11="","",MAX($AP$3:AP10)+1)</f>
        <v/>
      </c>
      <c r="AQ11" s="296">
        <f t="shared" si="15"/>
        <v>25</v>
      </c>
      <c r="AR11" s="295" t="str">
        <f t="shared" si="16"/>
        <v/>
      </c>
      <c r="AS11" s="9" t="e">
        <f>IF(MIN($AS$3:AS10)-1&lt;=0,"",AS10-1)</f>
        <v>#N/A</v>
      </c>
      <c r="AT11" s="296" t="e">
        <f t="shared" si="17"/>
        <v>#N/A</v>
      </c>
      <c r="AU11" s="295" t="e">
        <f t="shared" si="18"/>
        <v>#N/A</v>
      </c>
      <c r="AV11" s="9"/>
      <c r="AW11" s="9" t="s">
        <v>283</v>
      </c>
      <c r="AX11" s="9" t="s">
        <v>23</v>
      </c>
      <c r="AY11" s="9" t="s">
        <v>281</v>
      </c>
    </row>
    <row r="12" spans="1:51" ht="12.75">
      <c r="A12" s="17" t="s">
        <v>82</v>
      </c>
      <c r="B12" s="45">
        <v>100</v>
      </c>
      <c r="C12" s="134"/>
      <c r="D12" s="20" t="str">
        <f t="shared" ref="D12:D26" si="20">IF(ISERROR(R4),"",R4)</f>
        <v/>
      </c>
      <c r="E12" s="20" t="str">
        <f t="shared" si="19"/>
        <v/>
      </c>
      <c r="F12" s="22">
        <f t="shared" ref="F12:F26" si="21">IF(ISERROR(AB4),"",AB4)</f>
        <v>1</v>
      </c>
      <c r="G12" s="243" t="str">
        <f t="shared" ref="G12:G26" si="22">IF($AB$1=1, "",AC4)</f>
        <v/>
      </c>
      <c r="H12" s="243" t="str">
        <f t="shared" ref="H12:H26" si="23">IF($AB$1=1, "",AD4)</f>
        <v/>
      </c>
      <c r="I12" s="1"/>
      <c r="J12" s="1"/>
      <c r="K12" s="8" t="s">
        <v>17</v>
      </c>
      <c r="L12" s="1"/>
      <c r="M12" s="1">
        <v>10</v>
      </c>
      <c r="N12" s="244">
        <f t="shared" si="4"/>
        <v>10</v>
      </c>
      <c r="O12" s="9" t="str">
        <f t="shared" si="0"/>
        <v>7/8"</v>
      </c>
      <c r="P12" s="132">
        <f t="shared" si="1"/>
        <v>22.4</v>
      </c>
      <c r="Q12" s="9" t="str">
        <f t="shared" si="5"/>
        <v/>
      </c>
      <c r="R12" s="21" t="str">
        <f ca="1">IF(Q12="","",IF(Coarse_Cummalitive="x",Q12/Total_Weight,SUM(Q$3:Q12)/Total_Weight))</f>
        <v/>
      </c>
      <c r="S12" s="21" t="str">
        <f t="shared" si="6"/>
        <v/>
      </c>
      <c r="T12" s="138" t="str">
        <f>IF(AND(Q12="",SUM($R$3:S12)&gt;0),S13+((S11-S13)*(P12-P13)/(P11-P13)),S12)</f>
        <v/>
      </c>
      <c r="U12" s="9">
        <f t="shared" si="7"/>
        <v>2</v>
      </c>
      <c r="V12" s="289" t="str">
        <f t="shared" si="8"/>
        <v/>
      </c>
      <c r="W12" s="9" t="str">
        <f t="shared" si="2"/>
        <v/>
      </c>
      <c r="X12" s="291" t="str">
        <f t="shared" si="9"/>
        <v/>
      </c>
      <c r="Y12" s="292" t="str">
        <f>IF(V12="","",MIN($X$3:X12)-MAX(X13:$X$31))</f>
        <v/>
      </c>
      <c r="Z12" s="293" t="str">
        <f>IF(V12="","",MIN($W$3:W12)-MAX(W13:$W$31))</f>
        <v/>
      </c>
      <c r="AA12" s="294" t="str">
        <f>IF(V12="","",(V12-MAX(W13:$W$31))/Z12*Y12+MAX(X13:$X$31))</f>
        <v/>
      </c>
      <c r="AB12" s="295">
        <f t="shared" si="10"/>
        <v>1</v>
      </c>
      <c r="AC12" s="243">
        <f ca="1">IF(VLOOKUP($AC$1,Specs!$F$3:$AI$398,11,FALSE)="","",VLOOKUP($AC$1,Specs!$F$3:$AI$398,11,FALSE))</f>
        <v>1</v>
      </c>
      <c r="AD12" s="243">
        <f ca="1">IF(VLOOKUP($AC$2,Specs!$F$3:$AI$398,11,FALSE)="","",VLOOKUP($AC$2,Specs!$F$3:$AI$398,11,FALSE))</f>
        <v>0</v>
      </c>
      <c r="AE12" s="9">
        <f t="shared" si="3"/>
        <v>1</v>
      </c>
      <c r="AF12" s="244">
        <f>IF(AE12="","",MAX($AF$3:AF11)+1)</f>
        <v>10</v>
      </c>
      <c r="AG12" s="9">
        <f>IF(MIN($AG$3:AG11)-1&lt;=0,"",AG11-1)</f>
        <v>20</v>
      </c>
      <c r="AH12" s="290">
        <f t="shared" si="11"/>
        <v>0.85</v>
      </c>
      <c r="AI12" s="295">
        <f t="shared" si="12"/>
        <v>1</v>
      </c>
      <c r="AJ12" s="295">
        <f t="shared" si="13"/>
        <v>0</v>
      </c>
      <c r="AK12" s="295">
        <v>1</v>
      </c>
      <c r="AL12" s="1">
        <v>10</v>
      </c>
      <c r="AM12" s="296">
        <f>P22</f>
        <v>0.85</v>
      </c>
      <c r="AN12" s="295">
        <f>AB22</f>
        <v>1</v>
      </c>
      <c r="AO12" s="295">
        <f t="shared" si="14"/>
        <v>0</v>
      </c>
      <c r="AP12" s="244" t="str">
        <f>IF(AR12="","",MAX($AP$3:AP11)+1)</f>
        <v/>
      </c>
      <c r="AQ12" s="296">
        <f t="shared" si="15"/>
        <v>22.4</v>
      </c>
      <c r="AR12" s="295" t="str">
        <f t="shared" si="16"/>
        <v/>
      </c>
      <c r="AS12" s="9" t="e">
        <f>IF(MIN($AS$3:AS11)-1&lt;=0,"",AS11-1)</f>
        <v>#N/A</v>
      </c>
      <c r="AT12" s="296" t="e">
        <f t="shared" si="17"/>
        <v>#N/A</v>
      </c>
      <c r="AU12" s="295" t="e">
        <f t="shared" si="18"/>
        <v>#N/A</v>
      </c>
      <c r="AV12" s="8" t="s">
        <v>55</v>
      </c>
      <c r="AW12" s="132">
        <f>0.1-AY5</f>
        <v>0.1</v>
      </c>
      <c r="AX12" s="132">
        <f>AX4-AX5</f>
        <v>7.4999999999999997E-2</v>
      </c>
      <c r="AY12" s="132">
        <f>AY4-AY5</f>
        <v>1</v>
      </c>
    </row>
    <row r="13" spans="1:51" ht="12.75">
      <c r="A13" s="17" t="s">
        <v>28</v>
      </c>
      <c r="B13" s="45">
        <v>75</v>
      </c>
      <c r="C13" s="134"/>
      <c r="D13" s="20" t="str">
        <f t="shared" si="20"/>
        <v/>
      </c>
      <c r="E13" s="20" t="str">
        <f t="shared" si="19"/>
        <v/>
      </c>
      <c r="F13" s="22">
        <f t="shared" si="21"/>
        <v>1</v>
      </c>
      <c r="G13" s="243" t="str">
        <f t="shared" si="22"/>
        <v/>
      </c>
      <c r="H13" s="243" t="str">
        <f t="shared" si="23"/>
        <v/>
      </c>
      <c r="I13" s="252" t="str">
        <f ca="1">IF(SUM(C11:C27,C37:C50)=0,"No Data Provided",IF(Crushed="x",VLOOKUP(1,S33:T35,2,FALSE)&amp;", Crushed",VLOOKUP(1,S33:T35,2,FALSE)))</f>
        <v>No Data Provided</v>
      </c>
      <c r="J13" s="1"/>
      <c r="L13" s="1"/>
      <c r="M13" s="1">
        <v>11</v>
      </c>
      <c r="N13" s="244">
        <f t="shared" si="4"/>
        <v>11</v>
      </c>
      <c r="O13" s="9" t="str">
        <f t="shared" si="0"/>
        <v>3/4"</v>
      </c>
      <c r="P13" s="132">
        <f t="shared" si="1"/>
        <v>19</v>
      </c>
      <c r="Q13" s="9" t="str">
        <f t="shared" si="5"/>
        <v/>
      </c>
      <c r="R13" s="21" t="str">
        <f ca="1">IF(Q13="","",IF(Coarse_Cummalitive="x",Q13/Total_Weight,SUM(Q$3:Q13)/Total_Weight))</f>
        <v/>
      </c>
      <c r="S13" s="21" t="str">
        <f t="shared" si="6"/>
        <v/>
      </c>
      <c r="T13" s="138" t="str">
        <f>IF(AND(Q13="",SUM($R$3:S13)&gt;0),S14+((S12-S14)*(P13-P14)/(P12-P14)),S13)</f>
        <v/>
      </c>
      <c r="U13" s="9">
        <f t="shared" si="7"/>
        <v>2</v>
      </c>
      <c r="V13" s="289" t="str">
        <f t="shared" si="8"/>
        <v/>
      </c>
      <c r="W13" s="9" t="str">
        <f t="shared" si="2"/>
        <v/>
      </c>
      <c r="X13" s="291" t="str">
        <f t="shared" si="9"/>
        <v/>
      </c>
      <c r="Y13" s="292" t="str">
        <f>IF(V13="","",MIN($X$3:X13)-MAX(X14:$X$31))</f>
        <v/>
      </c>
      <c r="Z13" s="293" t="str">
        <f>IF(V13="","",MIN($W$3:W13)-MAX(W14:$W$31))</f>
        <v/>
      </c>
      <c r="AA13" s="294" t="str">
        <f>IF(V13="","",(V13-MAX(W14:$W$31))/Z13*Y13+MAX(X14:$X$31))</f>
        <v/>
      </c>
      <c r="AB13" s="295">
        <f t="shared" si="10"/>
        <v>1</v>
      </c>
      <c r="AC13" s="243">
        <f ca="1">IF(VLOOKUP($AC$1,Specs!$F$3:$AI$398,12,FALSE)="","",VLOOKUP($AC$1,Specs!$F$3:$AI$398,12,FALSE))</f>
        <v>1</v>
      </c>
      <c r="AD13" s="243">
        <f ca="1">IF(VLOOKUP($AC$2,Specs!$F$3:$AI$398,12,FALSE)="","",VLOOKUP($AC$2,Specs!$F$3:$AI$398,12,FALSE))</f>
        <v>0</v>
      </c>
      <c r="AE13" s="9">
        <f t="shared" si="3"/>
        <v>1</v>
      </c>
      <c r="AF13" s="244">
        <f>IF(AE13="","",MAX($AF$3:AF12)+1)</f>
        <v>11</v>
      </c>
      <c r="AG13" s="9">
        <f>IF(MIN($AG$3:AG12)-1&lt;=0,"",AG12-1)</f>
        <v>19</v>
      </c>
      <c r="AH13" s="290">
        <f t="shared" si="11"/>
        <v>1.18</v>
      </c>
      <c r="AI13" s="295">
        <f t="shared" si="12"/>
        <v>1</v>
      </c>
      <c r="AJ13" s="295">
        <f t="shared" si="13"/>
        <v>0</v>
      </c>
      <c r="AK13" s="295">
        <v>1</v>
      </c>
      <c r="AL13" s="1">
        <v>11</v>
      </c>
      <c r="AM13" s="296">
        <f>P21</f>
        <v>1.18</v>
      </c>
      <c r="AN13" s="295">
        <f>AB21</f>
        <v>1</v>
      </c>
      <c r="AO13" s="295">
        <f t="shared" si="14"/>
        <v>0</v>
      </c>
      <c r="AP13" s="244" t="str">
        <f>IF(AR13="","",MAX($AP$3:AP12)+1)</f>
        <v/>
      </c>
      <c r="AQ13" s="296">
        <f t="shared" si="15"/>
        <v>19</v>
      </c>
      <c r="AR13" s="295" t="str">
        <f t="shared" si="16"/>
        <v/>
      </c>
      <c r="AS13" s="9" t="e">
        <f>IF(MIN($AS$3:AS12)-1&lt;=0,"",AS12-1)</f>
        <v>#N/A</v>
      </c>
      <c r="AT13" s="296" t="e">
        <f t="shared" si="17"/>
        <v>#N/A</v>
      </c>
      <c r="AU13" s="295" t="e">
        <f t="shared" si="18"/>
        <v>#N/A</v>
      </c>
      <c r="AV13" s="8" t="s">
        <v>57</v>
      </c>
      <c r="AW13" s="132">
        <f>0.3-AY7</f>
        <v>0.3</v>
      </c>
      <c r="AX13" s="132">
        <f>AX6-AX7</f>
        <v>7.4999999999999997E-2</v>
      </c>
      <c r="AY13" s="132">
        <f>AY6-AY7</f>
        <v>1</v>
      </c>
    </row>
    <row r="14" spans="1:51" ht="12.75">
      <c r="A14" s="17" t="s">
        <v>29</v>
      </c>
      <c r="B14" s="45">
        <v>63</v>
      </c>
      <c r="C14" s="134"/>
      <c r="D14" s="20" t="str">
        <f t="shared" si="20"/>
        <v/>
      </c>
      <c r="E14" s="20" t="str">
        <f t="shared" si="19"/>
        <v/>
      </c>
      <c r="F14" s="22">
        <f t="shared" si="21"/>
        <v>1</v>
      </c>
      <c r="G14" s="243" t="str">
        <f t="shared" si="22"/>
        <v/>
      </c>
      <c r="H14" s="243" t="str">
        <f t="shared" si="23"/>
        <v/>
      </c>
      <c r="I14" s="1"/>
      <c r="J14" s="1"/>
      <c r="K14" s="1"/>
      <c r="L14" s="1"/>
      <c r="M14" s="1">
        <v>12</v>
      </c>
      <c r="N14" s="244">
        <f t="shared" si="4"/>
        <v>12</v>
      </c>
      <c r="O14" s="9" t="str">
        <f t="shared" si="0"/>
        <v>5/8"</v>
      </c>
      <c r="P14" s="132">
        <f t="shared" si="1"/>
        <v>16</v>
      </c>
      <c r="Q14" s="9" t="str">
        <f t="shared" si="5"/>
        <v/>
      </c>
      <c r="R14" s="21" t="str">
        <f ca="1">IF(Q14="","",IF(Coarse_Cummalitive="x",Q14/Total_Weight,SUM(Q$3:Q14)/Total_Weight))</f>
        <v/>
      </c>
      <c r="S14" s="21" t="str">
        <f t="shared" si="6"/>
        <v/>
      </c>
      <c r="T14" s="138" t="str">
        <f>IF(AND(Q14="",SUM($R$3:S14)&gt;0),S15+((S13-S15)*(P14-P15)/(P13-P15)),S14)</f>
        <v/>
      </c>
      <c r="U14" s="9">
        <f t="shared" si="7"/>
        <v>2</v>
      </c>
      <c r="V14" s="289" t="str">
        <f t="shared" si="8"/>
        <v/>
      </c>
      <c r="W14" s="9" t="str">
        <f t="shared" si="2"/>
        <v/>
      </c>
      <c r="X14" s="291" t="str">
        <f t="shared" si="9"/>
        <v/>
      </c>
      <c r="Y14" s="292" t="str">
        <f>IF(V14="","",MIN($X$3:X14)-MAX(X15:$X$31))</f>
        <v/>
      </c>
      <c r="Z14" s="293" t="str">
        <f>IF(V14="","",MIN($W$3:W14)-MAX(W15:$W$31))</f>
        <v/>
      </c>
      <c r="AA14" s="294" t="str">
        <f>IF(V14="","",(V14-MAX(W15:$W$31))/Z14*Y14+MAX(X15:$X$31))</f>
        <v/>
      </c>
      <c r="AB14" s="295">
        <f t="shared" si="10"/>
        <v>1</v>
      </c>
      <c r="AC14" s="243">
        <f ca="1">IF(VLOOKUP($AC$1,Specs!$F$3:$AI$398,13,FALSE)="","",VLOOKUP($AC$1,Specs!$F$3:$AI$398,13,FALSE))</f>
        <v>1</v>
      </c>
      <c r="AD14" s="243">
        <f ca="1">IF(VLOOKUP($AC$2,Specs!$F$3:$AI$398,13,FALSE)="","",VLOOKUP($AC$2,Specs!$F$3:$AI$398,13,FALSE))</f>
        <v>0</v>
      </c>
      <c r="AE14" s="9">
        <f t="shared" si="3"/>
        <v>1</v>
      </c>
      <c r="AF14" s="244">
        <f>IF(AE14="","",MAX($AF$3:AF13)+1)</f>
        <v>12</v>
      </c>
      <c r="AG14" s="9">
        <f>IF(MIN($AG$3:AG13)-1&lt;=0,"",AG13-1)</f>
        <v>18</v>
      </c>
      <c r="AH14" s="290">
        <f t="shared" si="11"/>
        <v>2</v>
      </c>
      <c r="AI14" s="295">
        <f t="shared" si="12"/>
        <v>1</v>
      </c>
      <c r="AJ14" s="295">
        <f t="shared" si="13"/>
        <v>0</v>
      </c>
      <c r="AK14" s="295">
        <v>1</v>
      </c>
      <c r="AL14" s="1">
        <v>12</v>
      </c>
      <c r="AM14" s="296">
        <f>P20</f>
        <v>2</v>
      </c>
      <c r="AN14" s="295">
        <f>AB20</f>
        <v>1</v>
      </c>
      <c r="AO14" s="295">
        <f t="shared" si="14"/>
        <v>0</v>
      </c>
      <c r="AP14" s="244" t="str">
        <f>IF(AR14="","",MAX($AP$3:AP13)+1)</f>
        <v/>
      </c>
      <c r="AQ14" s="296">
        <f t="shared" si="15"/>
        <v>16</v>
      </c>
      <c r="AR14" s="295" t="str">
        <f t="shared" si="16"/>
        <v/>
      </c>
      <c r="AS14" s="9" t="e">
        <f>IF(MIN($AS$3:AS13)-1&lt;=0,"",AS13-1)</f>
        <v>#N/A</v>
      </c>
      <c r="AT14" s="296" t="e">
        <f t="shared" si="17"/>
        <v>#N/A</v>
      </c>
      <c r="AU14" s="295" t="e">
        <f t="shared" si="18"/>
        <v>#N/A</v>
      </c>
      <c r="AV14" s="8" t="s">
        <v>58</v>
      </c>
      <c r="AW14" s="132">
        <f>0.6-AY9</f>
        <v>0.6</v>
      </c>
      <c r="AX14" s="132">
        <f>AX8-AX9</f>
        <v>7.4999999999999997E-2</v>
      </c>
      <c r="AY14" s="132">
        <f>AY8-AY9</f>
        <v>1</v>
      </c>
    </row>
    <row r="15" spans="1:51" ht="12.75">
      <c r="A15" s="17" t="s">
        <v>31</v>
      </c>
      <c r="B15" s="45">
        <v>50</v>
      </c>
      <c r="C15" s="134"/>
      <c r="D15" s="20" t="str">
        <f t="shared" si="20"/>
        <v/>
      </c>
      <c r="E15" s="20" t="str">
        <f t="shared" si="19"/>
        <v/>
      </c>
      <c r="F15" s="22">
        <f t="shared" si="21"/>
        <v>1</v>
      </c>
      <c r="G15" s="243" t="str">
        <f t="shared" si="22"/>
        <v/>
      </c>
      <c r="H15" s="243" t="str">
        <f t="shared" si="23"/>
        <v/>
      </c>
      <c r="I15" s="1"/>
      <c r="J15" s="1"/>
      <c r="K15" s="24" t="s">
        <v>30</v>
      </c>
      <c r="L15" s="1"/>
      <c r="M15" s="1">
        <v>13</v>
      </c>
      <c r="N15" s="244">
        <f t="shared" si="4"/>
        <v>13</v>
      </c>
      <c r="O15" s="9" t="str">
        <f t="shared" si="0"/>
        <v>1/2"</v>
      </c>
      <c r="P15" s="132">
        <f t="shared" si="1"/>
        <v>12.5</v>
      </c>
      <c r="Q15" s="9" t="str">
        <f t="shared" si="5"/>
        <v/>
      </c>
      <c r="R15" s="21" t="str">
        <f ca="1">IF(Q15="","",IF(Coarse_Cummalitive="x",Q15/Total_Weight,SUM(Q$3:Q15)/Total_Weight))</f>
        <v/>
      </c>
      <c r="S15" s="21" t="str">
        <f t="shared" si="6"/>
        <v/>
      </c>
      <c r="T15" s="138" t="str">
        <f>IF(AND(Q15="",SUM($R$3:S15)&gt;0),S16+((S14-S16)*(P15-P16)/(P14-P16)),S15)</f>
        <v/>
      </c>
      <c r="U15" s="9">
        <f t="shared" si="7"/>
        <v>2</v>
      </c>
      <c r="V15" s="289" t="str">
        <f t="shared" si="8"/>
        <v/>
      </c>
      <c r="W15" s="9" t="str">
        <f t="shared" si="2"/>
        <v/>
      </c>
      <c r="X15" s="291" t="str">
        <f t="shared" si="9"/>
        <v/>
      </c>
      <c r="Y15" s="292" t="str">
        <f>IF(V15="","",MIN($X$3:X15)-MAX(X16:$X$31))</f>
        <v/>
      </c>
      <c r="Z15" s="293" t="str">
        <f>IF(V15="","",MIN($W$3:W15)-MAX(W16:$W$31))</f>
        <v/>
      </c>
      <c r="AA15" s="294" t="str">
        <f>IF(V15="","",(V15-MAX(W16:$W$31))/Z15*Y15+MAX(X16:$X$31))</f>
        <v/>
      </c>
      <c r="AB15" s="295">
        <f t="shared" si="10"/>
        <v>1</v>
      </c>
      <c r="AC15" s="243">
        <f ca="1">IF(VLOOKUP($AC$1,Specs!$F$3:$AI$398,14,FALSE)="","",VLOOKUP($AC$1,Specs!$F$3:$AI$398,14,FALSE))</f>
        <v>1</v>
      </c>
      <c r="AD15" s="243">
        <f ca="1">IF(VLOOKUP($AC$2,Specs!$F$3:$AI$398,14,FALSE)="","",VLOOKUP($AC$2,Specs!$F$3:$AI$398,14,FALSE))</f>
        <v>0</v>
      </c>
      <c r="AE15" s="9">
        <f t="shared" si="3"/>
        <v>1</v>
      </c>
      <c r="AF15" s="244">
        <f>IF(AE15="","",MAX($AF$3:AF14)+1)</f>
        <v>13</v>
      </c>
      <c r="AG15" s="9">
        <f>IF(MIN($AG$3:AG14)-1&lt;=0,"",AG14-1)</f>
        <v>17</v>
      </c>
      <c r="AH15" s="290">
        <f t="shared" si="11"/>
        <v>2.36</v>
      </c>
      <c r="AI15" s="295">
        <f t="shared" si="12"/>
        <v>1</v>
      </c>
      <c r="AJ15" s="295">
        <f t="shared" si="13"/>
        <v>0</v>
      </c>
      <c r="AK15" s="295">
        <v>1</v>
      </c>
      <c r="AL15" s="1">
        <v>13</v>
      </c>
      <c r="AM15" s="296">
        <f>P19</f>
        <v>2.36</v>
      </c>
      <c r="AN15" s="295">
        <f>AB19</f>
        <v>1</v>
      </c>
      <c r="AO15" s="295">
        <f t="shared" si="14"/>
        <v>0</v>
      </c>
      <c r="AP15" s="244" t="str">
        <f>IF(AR15="","",MAX($AP$3:AP14)+1)</f>
        <v/>
      </c>
      <c r="AQ15" s="296">
        <f t="shared" si="15"/>
        <v>12.5</v>
      </c>
      <c r="AR15" s="295" t="str">
        <f t="shared" si="16"/>
        <v/>
      </c>
      <c r="AS15" s="9" t="e">
        <f>IF(MIN($AS$3:AS14)-1&lt;=0,"",AS14-1)</f>
        <v>#N/A</v>
      </c>
      <c r="AT15" s="296" t="e">
        <f t="shared" si="17"/>
        <v>#N/A</v>
      </c>
      <c r="AU15" s="295" t="e">
        <f t="shared" si="18"/>
        <v>#N/A</v>
      </c>
      <c r="AV15" s="9"/>
      <c r="AW15" s="8" t="s">
        <v>55</v>
      </c>
      <c r="AX15" s="9">
        <f>IF(AW12=0,AX7,AX5+(AX12*AW12/AY12))</f>
        <v>7.4999999999999997E-3</v>
      </c>
      <c r="AY15" s="31" t="s">
        <v>56</v>
      </c>
    </row>
    <row r="16" spans="1:51" ht="12.75">
      <c r="A16" s="17" t="s">
        <v>34</v>
      </c>
      <c r="B16" s="45">
        <v>45</v>
      </c>
      <c r="C16" s="134"/>
      <c r="D16" s="20" t="str">
        <f t="shared" si="20"/>
        <v/>
      </c>
      <c r="E16" s="20" t="str">
        <f t="shared" si="19"/>
        <v/>
      </c>
      <c r="F16" s="22">
        <f t="shared" si="21"/>
        <v>1</v>
      </c>
      <c r="G16" s="243" t="str">
        <f t="shared" si="22"/>
        <v/>
      </c>
      <c r="H16" s="243" t="str">
        <f t="shared" si="23"/>
        <v/>
      </c>
      <c r="I16" s="1"/>
      <c r="J16" s="11" t="s">
        <v>32</v>
      </c>
      <c r="K16" s="24" t="s">
        <v>33</v>
      </c>
      <c r="L16" s="1"/>
      <c r="M16" s="1">
        <v>14</v>
      </c>
      <c r="N16" s="244">
        <f t="shared" si="4"/>
        <v>14</v>
      </c>
      <c r="O16" s="9" t="str">
        <f t="shared" si="0"/>
        <v>3/8"</v>
      </c>
      <c r="P16" s="132">
        <f t="shared" si="1"/>
        <v>9.5</v>
      </c>
      <c r="Q16" s="9" t="str">
        <f t="shared" si="5"/>
        <v/>
      </c>
      <c r="R16" s="21" t="str">
        <f ca="1">IF(Q16="","",IF(Coarse_Cummalitive="x",Q16/Total_Weight,SUM(Q$3:Q16)/Total_Weight))</f>
        <v/>
      </c>
      <c r="S16" s="21" t="str">
        <f t="shared" si="6"/>
        <v/>
      </c>
      <c r="T16" s="138" t="str">
        <f>IF(AND(Q16="",SUM($R$3:S16)&gt;0),S17+((S15-S17)*(P16-P17)/(P15-P17)),S16)</f>
        <v/>
      </c>
      <c r="U16" s="9">
        <f t="shared" si="7"/>
        <v>2</v>
      </c>
      <c r="V16" s="289" t="str">
        <f t="shared" si="8"/>
        <v/>
      </c>
      <c r="W16" s="9" t="str">
        <f t="shared" si="2"/>
        <v/>
      </c>
      <c r="X16" s="291" t="str">
        <f t="shared" si="9"/>
        <v/>
      </c>
      <c r="Y16" s="292" t="str">
        <f>IF(V16="","",MIN($X$3:X16)-MAX(X17:$X$31))</f>
        <v/>
      </c>
      <c r="Z16" s="293" t="str">
        <f>IF(V16="","",MIN($W$3:W16)-MAX(W17:$W$31))</f>
        <v/>
      </c>
      <c r="AA16" s="294" t="str">
        <f>IF(V16="","",(V16-MAX(W17:$W$31))/Z16*Y16+MAX(X17:$X$31))</f>
        <v/>
      </c>
      <c r="AB16" s="295">
        <f t="shared" si="10"/>
        <v>1</v>
      </c>
      <c r="AC16" s="243">
        <f ca="1">IF(VLOOKUP($AC$1,Specs!$F$3:$AI$398,15,FALSE)="","",VLOOKUP($AC$1,Specs!$F$3:$AI$398,15,FALSE))</f>
        <v>1</v>
      </c>
      <c r="AD16" s="243">
        <f ca="1">IF(VLOOKUP($AC$2,Specs!$F$3:$AI$398,15,FALSE)="","",VLOOKUP($AC$2,Specs!$F$3:$AI$398,15,FALSE))</f>
        <v>0</v>
      </c>
      <c r="AE16" s="9">
        <f t="shared" si="3"/>
        <v>1</v>
      </c>
      <c r="AF16" s="244">
        <f>IF(AE16="","",MAX($AF$3:AF15)+1)</f>
        <v>14</v>
      </c>
      <c r="AG16" s="9">
        <f>IF(MIN($AG$3:AG15)-1&lt;=0,"",AG15-1)</f>
        <v>16</v>
      </c>
      <c r="AH16" s="290">
        <f t="shared" si="11"/>
        <v>4.75</v>
      </c>
      <c r="AI16" s="295">
        <f t="shared" si="12"/>
        <v>1</v>
      </c>
      <c r="AJ16" s="295">
        <f t="shared" si="13"/>
        <v>0</v>
      </c>
      <c r="AK16" s="295">
        <v>1</v>
      </c>
      <c r="AL16" s="1">
        <v>14</v>
      </c>
      <c r="AM16" s="299">
        <f>P18</f>
        <v>4.75</v>
      </c>
      <c r="AN16" s="295">
        <f>AB18</f>
        <v>1</v>
      </c>
      <c r="AO16" s="295">
        <f t="shared" si="14"/>
        <v>0</v>
      </c>
      <c r="AP16" s="244" t="str">
        <f>IF(AR16="","",MAX($AP$3:AP15)+1)</f>
        <v/>
      </c>
      <c r="AQ16" s="296">
        <f t="shared" si="15"/>
        <v>9.5</v>
      </c>
      <c r="AR16" s="295" t="str">
        <f t="shared" si="16"/>
        <v/>
      </c>
      <c r="AS16" s="9" t="e">
        <f>IF(MIN($AS$3:AS15)-1&lt;=0,"",AS15-1)</f>
        <v>#N/A</v>
      </c>
      <c r="AT16" s="296" t="e">
        <f t="shared" si="17"/>
        <v>#N/A</v>
      </c>
      <c r="AU16" s="295" t="e">
        <f t="shared" si="18"/>
        <v>#N/A</v>
      </c>
      <c r="AV16" s="9"/>
      <c r="AW16" s="8" t="s">
        <v>57</v>
      </c>
      <c r="AX16" s="9">
        <f>IF(AW13=0,AX8,AX7+(AX13*AW13/AY13))</f>
        <v>2.2499999999999999E-2</v>
      </c>
      <c r="AY16" s="31" t="s">
        <v>56</v>
      </c>
    </row>
    <row r="17" spans="1:51" ht="12.75">
      <c r="A17" s="17" t="s">
        <v>36</v>
      </c>
      <c r="B17" s="45">
        <v>37.5</v>
      </c>
      <c r="C17" s="134"/>
      <c r="D17" s="20" t="str">
        <f t="shared" si="20"/>
        <v/>
      </c>
      <c r="E17" s="20" t="str">
        <f t="shared" si="19"/>
        <v/>
      </c>
      <c r="F17" s="22">
        <f t="shared" si="21"/>
        <v>1</v>
      </c>
      <c r="G17" s="243" t="str">
        <f t="shared" si="22"/>
        <v/>
      </c>
      <c r="H17" s="243" t="str">
        <f t="shared" si="23"/>
        <v/>
      </c>
      <c r="I17" s="1"/>
      <c r="J17" s="25" t="s">
        <v>35</v>
      </c>
      <c r="K17" s="13"/>
      <c r="L17" s="1"/>
      <c r="M17" s="1">
        <v>15</v>
      </c>
      <c r="N17" s="244">
        <f t="shared" si="4"/>
        <v>15</v>
      </c>
      <c r="O17" s="9" t="str">
        <f t="shared" si="0"/>
        <v>1/4"</v>
      </c>
      <c r="P17" s="132">
        <f t="shared" si="1"/>
        <v>6.3</v>
      </c>
      <c r="Q17" s="9" t="str">
        <f t="shared" si="5"/>
        <v/>
      </c>
      <c r="R17" s="21" t="str">
        <f ca="1">IF(Q17="","",IF(Coarse_Cummalitive="x",Q17/Total_Weight,SUM(Q$3:Q17)/Total_Weight))</f>
        <v/>
      </c>
      <c r="S17" s="21" t="str">
        <f t="shared" si="6"/>
        <v/>
      </c>
      <c r="T17" s="138" t="str">
        <f>IF(AND(Q17="",SUM($R$3:S17)&gt;0),S18+((S16-S18)*(P17-P18)/(P16-P18)),S17)</f>
        <v/>
      </c>
      <c r="U17" s="9">
        <f t="shared" si="7"/>
        <v>2</v>
      </c>
      <c r="V17" s="289" t="str">
        <f t="shared" si="8"/>
        <v/>
      </c>
      <c r="W17" s="9" t="str">
        <f t="shared" si="2"/>
        <v/>
      </c>
      <c r="X17" s="291" t="str">
        <f t="shared" si="9"/>
        <v/>
      </c>
      <c r="Y17" s="292" t="str">
        <f>IF(V17="","",MIN($X$3:X17)-MAX(X18:$X$31))</f>
        <v/>
      </c>
      <c r="Z17" s="293" t="str">
        <f>IF(V17="","",MIN($W$3:W17)-MAX(W18:$W$31))</f>
        <v/>
      </c>
      <c r="AA17" s="294" t="str">
        <f>IF(V17="","",(V17-MAX(W18:$W$31))/Z17*Y17+MAX(X18:$X$31))</f>
        <v/>
      </c>
      <c r="AB17" s="295">
        <f t="shared" si="10"/>
        <v>1</v>
      </c>
      <c r="AC17" s="243">
        <f ca="1">IF(VLOOKUP($AC$1,Specs!$F$3:$AI$398,16,FALSE)="","",VLOOKUP($AC$1,Specs!$F$3:$AI$398,16,FALSE))</f>
        <v>1</v>
      </c>
      <c r="AD17" s="243">
        <f ca="1">IF(VLOOKUP($AC$2,Specs!$F$3:$AI$398,16,FALSE)="","",VLOOKUP($AC$2,Specs!$F$3:$AI$398,16,FALSE))</f>
        <v>0</v>
      </c>
      <c r="AE17" s="9">
        <f>IF(AC17="","",IF(AND(AB17&lt;=AC17,AB17&gt;=AD17),1,2))</f>
        <v>1</v>
      </c>
      <c r="AF17" s="244">
        <f>IF(AE17="","",MAX($AF$3:AF16)+1)</f>
        <v>15</v>
      </c>
      <c r="AG17" s="9">
        <f>IF(MIN($AG$3:AG16)-1&lt;=0,"",AG16-1)</f>
        <v>15</v>
      </c>
      <c r="AH17" s="290">
        <f t="shared" si="11"/>
        <v>6.3</v>
      </c>
      <c r="AI17" s="295">
        <f t="shared" si="12"/>
        <v>1</v>
      </c>
      <c r="AJ17" s="295">
        <f t="shared" si="13"/>
        <v>0</v>
      </c>
      <c r="AK17" s="295">
        <v>1</v>
      </c>
      <c r="AL17" s="1">
        <v>15</v>
      </c>
      <c r="AM17" s="299">
        <f>P17</f>
        <v>6.3</v>
      </c>
      <c r="AN17" s="295">
        <f>AB17</f>
        <v>1</v>
      </c>
      <c r="AO17" s="295">
        <f t="shared" si="14"/>
        <v>0</v>
      </c>
      <c r="AP17" s="244" t="str">
        <f>IF(AR17="","",MAX($AP$3:AP16)+1)</f>
        <v/>
      </c>
      <c r="AQ17" s="296">
        <f t="shared" si="15"/>
        <v>6.3</v>
      </c>
      <c r="AR17" s="295" t="str">
        <f t="shared" si="16"/>
        <v/>
      </c>
      <c r="AS17" s="9" t="e">
        <f>IF(MIN($AS$3:AS16)-1&lt;=0,"",AS16-1)</f>
        <v>#N/A</v>
      </c>
      <c r="AT17" s="296" t="e">
        <f t="shared" si="17"/>
        <v>#N/A</v>
      </c>
      <c r="AU17" s="295" t="e">
        <f t="shared" si="18"/>
        <v>#N/A</v>
      </c>
      <c r="AV17" s="9"/>
      <c r="AW17" s="8" t="s">
        <v>58</v>
      </c>
      <c r="AX17" s="9">
        <f>IF(AW14=0,AX9,AX9+(AX14*AW14/AY14))</f>
        <v>4.4999999999999998E-2</v>
      </c>
      <c r="AY17" s="31" t="s">
        <v>56</v>
      </c>
    </row>
    <row r="18" spans="1:51">
      <c r="A18" s="17" t="s">
        <v>38</v>
      </c>
      <c r="B18" s="45">
        <v>31.5</v>
      </c>
      <c r="C18" s="134"/>
      <c r="D18" s="20" t="str">
        <f t="shared" si="20"/>
        <v/>
      </c>
      <c r="E18" s="20" t="str">
        <f t="shared" si="19"/>
        <v/>
      </c>
      <c r="F18" s="22">
        <f t="shared" si="21"/>
        <v>1</v>
      </c>
      <c r="G18" s="243" t="str">
        <f t="shared" si="22"/>
        <v/>
      </c>
      <c r="H18" s="243" t="str">
        <f t="shared" si="23"/>
        <v/>
      </c>
      <c r="I18" s="1"/>
      <c r="J18" s="25" t="s">
        <v>37</v>
      </c>
      <c r="K18" s="13"/>
      <c r="L18" s="1"/>
      <c r="M18" s="1">
        <v>16</v>
      </c>
      <c r="N18" s="244">
        <f t="shared" si="4"/>
        <v>16</v>
      </c>
      <c r="O18" s="91" t="str">
        <f t="shared" si="0"/>
        <v>#4</v>
      </c>
      <c r="P18" s="133">
        <f t="shared" si="1"/>
        <v>4.75</v>
      </c>
      <c r="Q18" s="91" t="str">
        <f t="shared" si="5"/>
        <v/>
      </c>
      <c r="R18" s="135" t="str">
        <f ca="1">IF(Q18="","",IF(Coarse_Cummalitive="x",Q18/Total_Weight,SUM(Q$3:Q18)/Total_Weight))</f>
        <v/>
      </c>
      <c r="S18" s="135" t="str">
        <f t="shared" si="6"/>
        <v/>
      </c>
      <c r="T18" s="139" t="str">
        <f>IF(AND(Q18="",SUM($R$3:S18)&gt;0),S19+((S17-S19)*(P18-P19)/(P17-P19)),S18)</f>
        <v/>
      </c>
      <c r="U18" s="300">
        <f t="shared" si="7"/>
        <v>2</v>
      </c>
      <c r="V18" s="300" t="str">
        <f t="shared" si="8"/>
        <v/>
      </c>
      <c r="W18" s="300" t="str">
        <f t="shared" si="2"/>
        <v/>
      </c>
      <c r="X18" s="300" t="str">
        <f t="shared" si="9"/>
        <v/>
      </c>
      <c r="Y18" s="301" t="str">
        <f>IF(V18="","",MIN($X$3:X18)-MAX(X19:$X$31))</f>
        <v/>
      </c>
      <c r="Z18" s="301" t="str">
        <f>IF(V18="","",MIN($W$3:W18)-MAX(W19:$W$31))</f>
        <v/>
      </c>
      <c r="AA18" s="301" t="str">
        <f>IF(V18="","",(V18-MAX(W19:$W$31))/Z18*Y18+MAX(X19:$X$31))</f>
        <v/>
      </c>
      <c r="AB18" s="295">
        <f t="shared" si="10"/>
        <v>1</v>
      </c>
      <c r="AC18" s="245">
        <f ca="1">IF(VLOOKUP($AC$1,Specs!$F$3:$AI$398,17,FALSE)="","",VLOOKUP($AC$1,Specs!$F$3:$AI$398,17,FALSE))</f>
        <v>1</v>
      </c>
      <c r="AD18" s="245">
        <f ca="1">IF(VLOOKUP($AC$2,Specs!$F$3:$AI$398,17,FALSE)="","",VLOOKUP($AC$2,Specs!$F$3:$AI$398,17,FALSE))</f>
        <v>0</v>
      </c>
      <c r="AE18" s="91">
        <f t="shared" ref="AE18:AE31" si="24">IF(AC18="","",IF(AND(AB18&lt;=AC18,AB18&gt;=AD18),1,2))</f>
        <v>1</v>
      </c>
      <c r="AF18" s="246">
        <f>IF(AE18="","",MAX($AF$3:AF17)+1)</f>
        <v>16</v>
      </c>
      <c r="AG18" s="91">
        <f>IF(MIN($AG$3:AG17)-1&lt;=0,"",AG17-1)</f>
        <v>14</v>
      </c>
      <c r="AH18" s="301">
        <f t="shared" si="11"/>
        <v>9.5</v>
      </c>
      <c r="AI18" s="302">
        <f t="shared" si="12"/>
        <v>1</v>
      </c>
      <c r="AJ18" s="302">
        <f t="shared" si="13"/>
        <v>0</v>
      </c>
      <c r="AK18" s="295">
        <v>1</v>
      </c>
      <c r="AL18" s="1">
        <v>16</v>
      </c>
      <c r="AM18" s="303">
        <f>P16</f>
        <v>9.5</v>
      </c>
      <c r="AN18" s="302">
        <f>AB16</f>
        <v>1</v>
      </c>
      <c r="AO18" s="295">
        <f t="shared" si="14"/>
        <v>0</v>
      </c>
      <c r="AP18" s="244" t="str">
        <f>IF(AR18="","",MAX($AP$3:AP17)+1)</f>
        <v/>
      </c>
      <c r="AQ18" s="296">
        <f t="shared" si="15"/>
        <v>4.75</v>
      </c>
      <c r="AR18" s="295" t="str">
        <f t="shared" si="16"/>
        <v/>
      </c>
      <c r="AS18" s="9" t="e">
        <f>IF(MIN($AS$3:AS17)-1&lt;=0,"",AS17-1)</f>
        <v>#N/A</v>
      </c>
      <c r="AT18" s="296" t="e">
        <f t="shared" si="17"/>
        <v>#N/A</v>
      </c>
      <c r="AU18" s="295" t="e">
        <f t="shared" si="18"/>
        <v>#N/A</v>
      </c>
    </row>
    <row r="19" spans="1:51">
      <c r="A19" s="17" t="s">
        <v>40</v>
      </c>
      <c r="B19" s="45">
        <v>25</v>
      </c>
      <c r="C19" s="134"/>
      <c r="D19" s="20" t="str">
        <f t="shared" si="20"/>
        <v/>
      </c>
      <c r="E19" s="20" t="str">
        <f t="shared" si="19"/>
        <v/>
      </c>
      <c r="F19" s="22">
        <f t="shared" si="21"/>
        <v>1</v>
      </c>
      <c r="G19" s="243" t="str">
        <f t="shared" si="22"/>
        <v/>
      </c>
      <c r="H19" s="243" t="str">
        <f t="shared" si="23"/>
        <v/>
      </c>
      <c r="I19" s="1"/>
      <c r="J19" s="25" t="s">
        <v>39</v>
      </c>
      <c r="K19" s="13"/>
      <c r="L19" s="1"/>
      <c r="M19" s="1">
        <v>17</v>
      </c>
      <c r="N19" s="244">
        <f t="shared" si="4"/>
        <v>17</v>
      </c>
      <c r="O19" s="9" t="str">
        <f t="shared" ref="O19:O31" si="25">A37</f>
        <v>#8</v>
      </c>
      <c r="P19" s="92">
        <f t="shared" ref="P19:P31" si="26">B37</f>
        <v>2.36</v>
      </c>
      <c r="Q19" s="9" t="str">
        <f>IF(C37="","",C37)</f>
        <v/>
      </c>
      <c r="R19" s="21" t="str">
        <f ca="1">IF(Q19="","",IF(Split="x",IF(Fines_Cumulative="x",Q19/Split_Weight,SUM($Q$19:Q19)/Split_Weight+Split_Percent),IF(Fines_Cumulative="x",Q19/Split_Weight*(1-Split_Percent)+Split_Percent,SUM($Q$19:Q19)/Split_Weight*(1-Split_Percent)+Split_Percent)))</f>
        <v/>
      </c>
      <c r="S19" s="21" t="str">
        <f t="shared" ref="S19:S31" si="27">IF(R19="","",1-R19)</f>
        <v/>
      </c>
      <c r="T19" s="138" t="str">
        <f>IF(AND(Q19="",SUM($R$3:S19)&gt;0),S20+((S18-S20)*(P19-P20)/(P18-P20)),S19)</f>
        <v/>
      </c>
      <c r="U19" s="9">
        <f t="shared" si="7"/>
        <v>2</v>
      </c>
      <c r="V19" s="289" t="str">
        <f t="shared" si="8"/>
        <v/>
      </c>
      <c r="W19" s="92" t="str">
        <f t="shared" si="2"/>
        <v/>
      </c>
      <c r="X19" s="291" t="str">
        <f t="shared" si="9"/>
        <v/>
      </c>
      <c r="Y19" s="292" t="str">
        <f>IF(V19="","",MIN($X$3:X19)-MAX(X20:$X$31))</f>
        <v/>
      </c>
      <c r="Z19" s="304" t="str">
        <f>IF(V19="","",MIN($W$3:W19)-MAX(W20:$W$31))</f>
        <v/>
      </c>
      <c r="AA19" s="294" t="str">
        <f>IF(V19="","",(V19-MAX(W20:$W$31))/Z19*Y19+MAX(X20:$X$31))</f>
        <v/>
      </c>
      <c r="AB19" s="295">
        <f t="shared" si="10"/>
        <v>1</v>
      </c>
      <c r="AC19" s="243">
        <f ca="1">IF(VLOOKUP($AC$1,Specs!$F$3:$AI$398,18,FALSE)="","",VLOOKUP($AC$1,Specs!$F$3:$AI$398,18,FALSE))</f>
        <v>1</v>
      </c>
      <c r="AD19" s="243">
        <f ca="1">IF(VLOOKUP($AC$2,Specs!$F$3:$AI$398,18,FALSE)="","",VLOOKUP($AC$2,Specs!$F$3:$AI$398,18,FALSE))</f>
        <v>0</v>
      </c>
      <c r="AE19" s="9">
        <f t="shared" si="24"/>
        <v>1</v>
      </c>
      <c r="AF19" s="244">
        <f>IF(AE19="","",MAX($AF$3:AF18)+1)</f>
        <v>17</v>
      </c>
      <c r="AG19" s="9">
        <f>IF(MIN($AG$3:AG18)-1&lt;=0,"",AG18-1)</f>
        <v>13</v>
      </c>
      <c r="AH19" s="290">
        <f t="shared" si="11"/>
        <v>12.5</v>
      </c>
      <c r="AI19" s="295">
        <f t="shared" si="12"/>
        <v>1</v>
      </c>
      <c r="AJ19" s="295">
        <f t="shared" si="13"/>
        <v>0</v>
      </c>
      <c r="AK19" s="295">
        <v>1</v>
      </c>
      <c r="AL19" s="1">
        <v>17</v>
      </c>
      <c r="AM19" s="299">
        <f>P15</f>
        <v>12.5</v>
      </c>
      <c r="AN19" s="295">
        <f>AB15</f>
        <v>1</v>
      </c>
      <c r="AO19" s="295">
        <f t="shared" si="14"/>
        <v>0</v>
      </c>
      <c r="AP19" s="244" t="str">
        <f>IF(AR19="","",MAX($AP$3:AP18)+1)</f>
        <v/>
      </c>
      <c r="AQ19" s="296">
        <f t="shared" si="15"/>
        <v>2.36</v>
      </c>
      <c r="AR19" s="295" t="str">
        <f t="shared" si="16"/>
        <v/>
      </c>
      <c r="AS19" s="9" t="e">
        <f>IF(MIN($AS$3:AS18)-1&lt;=0,"",AS18-1)</f>
        <v>#N/A</v>
      </c>
      <c r="AT19" s="296" t="e">
        <f t="shared" si="17"/>
        <v>#N/A</v>
      </c>
      <c r="AU19" s="295" t="e">
        <f t="shared" si="18"/>
        <v>#N/A</v>
      </c>
    </row>
    <row r="20" spans="1:51">
      <c r="A20" s="17" t="s">
        <v>84</v>
      </c>
      <c r="B20" s="45">
        <v>22.4</v>
      </c>
      <c r="C20" s="134"/>
      <c r="D20" s="20" t="str">
        <f t="shared" si="20"/>
        <v/>
      </c>
      <c r="E20" s="20" t="str">
        <f t="shared" si="19"/>
        <v/>
      </c>
      <c r="F20" s="22">
        <f t="shared" si="21"/>
        <v>1</v>
      </c>
      <c r="G20" s="243" t="str">
        <f t="shared" si="22"/>
        <v/>
      </c>
      <c r="H20" s="243" t="str">
        <f t="shared" si="23"/>
        <v/>
      </c>
      <c r="I20" s="1"/>
      <c r="J20" s="25" t="s">
        <v>41</v>
      </c>
      <c r="K20" s="13"/>
      <c r="L20" s="1"/>
      <c r="M20" s="1">
        <v>18</v>
      </c>
      <c r="N20" s="244">
        <f t="shared" si="4"/>
        <v>18</v>
      </c>
      <c r="O20" s="9" t="str">
        <f t="shared" si="25"/>
        <v>#10</v>
      </c>
      <c r="P20" s="92">
        <f t="shared" si="26"/>
        <v>2</v>
      </c>
      <c r="Q20" s="9" t="str">
        <f>IF(C38="","",C38)</f>
        <v/>
      </c>
      <c r="R20" s="21" t="str">
        <f ca="1">IF(Q20="","",IF(Split="x",IF(Fines_Cumulative="x",Q20/Split_Weight,SUM($Q$19:Q20)/Split_Weight+Split_Percent),IF(Fines_Cumulative="x",Q20/Split_Weight*(1-Split_Percent)+Split_Percent,SUM($Q$19:Q20)/Split_Weight*(1-Split_Percent)+Split_Percent)))</f>
        <v/>
      </c>
      <c r="S20" s="21" t="str">
        <f t="shared" si="27"/>
        <v/>
      </c>
      <c r="T20" s="138" t="str">
        <f>IF(AND(Q20="",SUM($R$3:S20)&gt;0),S21+((S19-S21)*(P20-P21)/(P19-P21)),S20)</f>
        <v/>
      </c>
      <c r="U20" s="9">
        <f t="shared" si="7"/>
        <v>2</v>
      </c>
      <c r="V20" s="289" t="str">
        <f t="shared" si="8"/>
        <v/>
      </c>
      <c r="W20" s="92" t="str">
        <f t="shared" si="2"/>
        <v/>
      </c>
      <c r="X20" s="291" t="str">
        <f t="shared" si="9"/>
        <v/>
      </c>
      <c r="Y20" s="292" t="str">
        <f>IF(V20="","",MIN($X$3:X20)-MAX(X21:$X$31))</f>
        <v/>
      </c>
      <c r="Z20" s="304" t="str">
        <f>IF(V20="","",MIN($W$3:W20)-MAX(W21:$W$31))</f>
        <v/>
      </c>
      <c r="AA20" s="294" t="str">
        <f>IF(V20="","",(V20-MAX(W21:$W$31))/Z20*Y20+MAX(X21:$X$31))</f>
        <v/>
      </c>
      <c r="AB20" s="295">
        <f t="shared" si="10"/>
        <v>1</v>
      </c>
      <c r="AC20" s="243">
        <f ca="1">IF(VLOOKUP($AC$1,Specs!$F$3:$AI$398,19,FALSE)="","",VLOOKUP($AC$1,Specs!$F$3:$AI$398,19,FALSE))</f>
        <v>1</v>
      </c>
      <c r="AD20" s="243">
        <f ca="1">IF(VLOOKUP($AC$2,Specs!$F$3:$AI$398,19,FALSE)="","",VLOOKUP($AC$2,Specs!$F$3:$AI$398,19,FALSE))</f>
        <v>0</v>
      </c>
      <c r="AE20" s="9">
        <f t="shared" si="24"/>
        <v>1</v>
      </c>
      <c r="AF20" s="244">
        <f>IF(AE20="","",MAX($AF$3:AF19)+1)</f>
        <v>18</v>
      </c>
      <c r="AG20" s="9">
        <f>IF(MIN($AG$3:AG19)-1&lt;=0,"",AG19-1)</f>
        <v>12</v>
      </c>
      <c r="AH20" s="290">
        <f t="shared" si="11"/>
        <v>16</v>
      </c>
      <c r="AI20" s="295">
        <f t="shared" si="12"/>
        <v>1</v>
      </c>
      <c r="AJ20" s="295">
        <f t="shared" si="13"/>
        <v>0</v>
      </c>
      <c r="AK20" s="295">
        <v>1</v>
      </c>
      <c r="AL20" s="1">
        <v>18</v>
      </c>
      <c r="AM20" s="299">
        <f>P14</f>
        <v>16</v>
      </c>
      <c r="AN20" s="295">
        <f>AB14</f>
        <v>1</v>
      </c>
      <c r="AO20" s="295">
        <f t="shared" si="14"/>
        <v>0</v>
      </c>
      <c r="AP20" s="244" t="str">
        <f>IF(AR20="","",MAX($AP$3:AP19)+1)</f>
        <v/>
      </c>
      <c r="AQ20" s="296">
        <f t="shared" si="15"/>
        <v>2</v>
      </c>
      <c r="AR20" s="295" t="str">
        <f t="shared" si="16"/>
        <v/>
      </c>
      <c r="AS20" s="9" t="e">
        <f>IF(MIN($AS$3:AS19)-1&lt;=0,"",AS19-1)</f>
        <v>#N/A</v>
      </c>
      <c r="AT20" s="296" t="e">
        <f t="shared" si="17"/>
        <v>#N/A</v>
      </c>
      <c r="AU20" s="295" t="e">
        <f t="shared" si="18"/>
        <v>#N/A</v>
      </c>
    </row>
    <row r="21" spans="1:51">
      <c r="A21" s="17" t="s">
        <v>42</v>
      </c>
      <c r="B21" s="45">
        <v>19</v>
      </c>
      <c r="C21" s="307"/>
      <c r="D21" s="20" t="str">
        <f t="shared" si="20"/>
        <v/>
      </c>
      <c r="E21" s="20" t="str">
        <f t="shared" si="19"/>
        <v/>
      </c>
      <c r="F21" s="22">
        <f t="shared" si="21"/>
        <v>1</v>
      </c>
      <c r="G21" s="243" t="str">
        <f t="shared" si="22"/>
        <v/>
      </c>
      <c r="H21" s="243" t="str">
        <f t="shared" si="23"/>
        <v/>
      </c>
      <c r="I21" s="1"/>
      <c r="J21" s="25"/>
      <c r="L21" s="1"/>
      <c r="M21" s="1">
        <v>19</v>
      </c>
      <c r="N21" s="244">
        <f t="shared" si="4"/>
        <v>19</v>
      </c>
      <c r="O21" s="9" t="str">
        <f t="shared" si="25"/>
        <v>#16</v>
      </c>
      <c r="P21" s="92">
        <f t="shared" si="26"/>
        <v>1.18</v>
      </c>
      <c r="Q21" s="9" t="str">
        <f t="shared" ref="Q21:Q31" si="28">IF(C39="","",C39)</f>
        <v/>
      </c>
      <c r="R21" s="21" t="str">
        <f ca="1">IF(Q21="","",IF(Split="x",IF(Fines_Cumulative="x",Q21/Split_Weight,SUM($Q$19:Q21)/Split_Weight+Split_Percent),IF(Fines_Cumulative="x",Q21/Split_Weight*(1-Split_Percent)+Split_Percent,SUM($Q$19:Q21)/Split_Weight*(1-Split_Percent)+Split_Percent)))</f>
        <v/>
      </c>
      <c r="S21" s="21" t="str">
        <f t="shared" si="27"/>
        <v/>
      </c>
      <c r="T21" s="138" t="str">
        <f>IF(AND(Q21="",SUM($R$3:S21)&gt;0),S22+((S20-S22)*(P21-P22)/(P20-P22)),S21)</f>
        <v/>
      </c>
      <c r="U21" s="9">
        <f t="shared" si="7"/>
        <v>2</v>
      </c>
      <c r="V21" s="289" t="str">
        <f t="shared" si="8"/>
        <v/>
      </c>
      <c r="W21" s="92" t="str">
        <f t="shared" si="2"/>
        <v/>
      </c>
      <c r="X21" s="291" t="str">
        <f t="shared" si="9"/>
        <v/>
      </c>
      <c r="Y21" s="292" t="str">
        <f>IF(V21="","",MIN($X$3:X21)-MAX(X22:$X$31))</f>
        <v/>
      </c>
      <c r="Z21" s="304" t="str">
        <f>IF(V21="","",MIN($W$3:W21)-MAX(W22:$W$31))</f>
        <v/>
      </c>
      <c r="AA21" s="294" t="str">
        <f>IF(V21="","",(V21-MAX(W22:$W$31))/Z21*Y21+MAX(X22:$X$31))</f>
        <v/>
      </c>
      <c r="AB21" s="295">
        <f t="shared" si="10"/>
        <v>1</v>
      </c>
      <c r="AC21" s="243">
        <f ca="1">IF(VLOOKUP($AC$1,Specs!$F$3:$AI$398,20,FALSE)="","",VLOOKUP($AC$1,Specs!$F$3:$AI$398,20,FALSE))</f>
        <v>1</v>
      </c>
      <c r="AD21" s="243">
        <f ca="1">IF(VLOOKUP($AC$2,Specs!$F$3:$AI$398,20,FALSE)="","",VLOOKUP($AC$2,Specs!$F$3:$AI$398,20,FALSE))</f>
        <v>0</v>
      </c>
      <c r="AE21" s="9">
        <f t="shared" si="24"/>
        <v>1</v>
      </c>
      <c r="AF21" s="244">
        <f>IF(AE21="","",MAX($AF$3:AF20)+1)</f>
        <v>19</v>
      </c>
      <c r="AG21" s="9">
        <f>IF(MIN($AG$3:AG20)-1&lt;=0,"",AG20-1)</f>
        <v>11</v>
      </c>
      <c r="AH21" s="290">
        <f t="shared" si="11"/>
        <v>19</v>
      </c>
      <c r="AI21" s="295">
        <f t="shared" si="12"/>
        <v>1</v>
      </c>
      <c r="AJ21" s="295">
        <f t="shared" si="13"/>
        <v>0</v>
      </c>
      <c r="AK21" s="295">
        <v>1</v>
      </c>
      <c r="AL21" s="1">
        <v>19</v>
      </c>
      <c r="AM21" s="299">
        <f>P13</f>
        <v>19</v>
      </c>
      <c r="AN21" s="295">
        <f>AB13</f>
        <v>1</v>
      </c>
      <c r="AO21" s="295">
        <f t="shared" si="14"/>
        <v>0</v>
      </c>
      <c r="AP21" s="244" t="str">
        <f>IF(AR21="","",MAX($AP$3:AP20)+1)</f>
        <v/>
      </c>
      <c r="AQ21" s="296">
        <f t="shared" si="15"/>
        <v>1.18</v>
      </c>
      <c r="AR21" s="295" t="str">
        <f t="shared" si="16"/>
        <v/>
      </c>
      <c r="AS21" s="9" t="e">
        <f>IF(MIN($AS$3:AS20)-1&lt;=0,"",AS20-1)</f>
        <v>#N/A</v>
      </c>
      <c r="AT21" s="296" t="e">
        <f t="shared" si="17"/>
        <v>#N/A</v>
      </c>
      <c r="AU21" s="295" t="e">
        <f t="shared" si="18"/>
        <v>#N/A</v>
      </c>
    </row>
    <row r="22" spans="1:51">
      <c r="A22" s="17" t="s">
        <v>43</v>
      </c>
      <c r="B22" s="45">
        <v>16</v>
      </c>
      <c r="C22" s="307"/>
      <c r="D22" s="20" t="str">
        <f t="shared" si="20"/>
        <v/>
      </c>
      <c r="E22" s="20" t="str">
        <f t="shared" si="19"/>
        <v/>
      </c>
      <c r="F22" s="22">
        <f t="shared" si="21"/>
        <v>1</v>
      </c>
      <c r="G22" s="243" t="str">
        <f t="shared" si="22"/>
        <v/>
      </c>
      <c r="H22" s="243" t="str">
        <f t="shared" si="23"/>
        <v/>
      </c>
      <c r="I22" s="274" t="str">
        <f ca="1">IF(AND(Silt_Clay&gt;=0.5,K24=""),"Need Atterberg Limits to classify sample!","")</f>
        <v/>
      </c>
      <c r="J22" s="1"/>
      <c r="L22" s="1"/>
      <c r="M22" s="1">
        <v>20</v>
      </c>
      <c r="N22" s="244">
        <f t="shared" si="4"/>
        <v>20</v>
      </c>
      <c r="O22" s="9" t="str">
        <f t="shared" si="25"/>
        <v>#20</v>
      </c>
      <c r="P22" s="92">
        <f t="shared" si="26"/>
        <v>0.85</v>
      </c>
      <c r="Q22" s="9" t="str">
        <f t="shared" si="28"/>
        <v/>
      </c>
      <c r="R22" s="21" t="str">
        <f ca="1">IF(Q22="","",IF(Split="x",IF(Fines_Cumulative="x",Q22/Split_Weight,SUM($Q$19:Q22)/Split_Weight+Split_Percent),IF(Fines_Cumulative="x",Q22/Split_Weight*(1-Split_Percent)+Split_Percent,SUM($Q$19:Q22)/Split_Weight*(1-Split_Percent)+Split_Percent)))</f>
        <v/>
      </c>
      <c r="S22" s="21" t="str">
        <f t="shared" si="27"/>
        <v/>
      </c>
      <c r="T22" s="138" t="str">
        <f>IF(AND(Q22="",SUM($R$3:S22)&gt;0),S23+((S21-S23)*(P22-P23)/(P21-P23)),S22)</f>
        <v/>
      </c>
      <c r="U22" s="9">
        <f t="shared" si="7"/>
        <v>2</v>
      </c>
      <c r="V22" s="289" t="str">
        <f t="shared" si="8"/>
        <v/>
      </c>
      <c r="W22" s="92" t="str">
        <f t="shared" si="2"/>
        <v/>
      </c>
      <c r="X22" s="291" t="str">
        <f t="shared" si="9"/>
        <v/>
      </c>
      <c r="Y22" s="292" t="str">
        <f>IF(V22="","",MIN($X$3:X22)-MAX(X23:$X$31))</f>
        <v/>
      </c>
      <c r="Z22" s="304" t="str">
        <f>IF(V22="","",MIN($W$3:W22)-MAX(W23:$W$31))</f>
        <v/>
      </c>
      <c r="AA22" s="294" t="str">
        <f>IF(V22="","",(V22-MAX(W23:$W$31))/Z22*Y22+MAX(X23:$X$31))</f>
        <v/>
      </c>
      <c r="AB22" s="295">
        <f t="shared" si="10"/>
        <v>1</v>
      </c>
      <c r="AC22" s="243">
        <f ca="1">IF(VLOOKUP($AC$1,Specs!$F$3:$AI$398,21,FALSE)="","",VLOOKUP($AC$1,Specs!$F$3:$AI$398,21,FALSE))</f>
        <v>1</v>
      </c>
      <c r="AD22" s="243">
        <f ca="1">IF(VLOOKUP($AC$2,Specs!$F$3:$AI$398,21,FALSE)="","",VLOOKUP($AC$2,Specs!$F$3:$AI$398,21,FALSE))</f>
        <v>0</v>
      </c>
      <c r="AE22" s="9">
        <f t="shared" si="24"/>
        <v>1</v>
      </c>
      <c r="AF22" s="244">
        <f>IF(AE22="","",MAX($AF$3:AF21)+1)</f>
        <v>20</v>
      </c>
      <c r="AG22" s="9">
        <f>IF(MIN($AG$3:AG21)-1&lt;=0,"",AG21-1)</f>
        <v>10</v>
      </c>
      <c r="AH22" s="290">
        <f t="shared" si="11"/>
        <v>22.4</v>
      </c>
      <c r="AI22" s="295">
        <f t="shared" si="12"/>
        <v>1</v>
      </c>
      <c r="AJ22" s="295">
        <f t="shared" si="13"/>
        <v>0</v>
      </c>
      <c r="AK22" s="295">
        <v>1</v>
      </c>
      <c r="AL22" s="1">
        <v>20</v>
      </c>
      <c r="AM22" s="299">
        <f>P12</f>
        <v>22.4</v>
      </c>
      <c r="AN22" s="295">
        <f>AB12</f>
        <v>1</v>
      </c>
      <c r="AO22" s="295">
        <f t="shared" si="14"/>
        <v>0</v>
      </c>
      <c r="AP22" s="244" t="str">
        <f>IF(AR22="","",MAX($AP$3:AP21)+1)</f>
        <v/>
      </c>
      <c r="AQ22" s="296">
        <f t="shared" si="15"/>
        <v>0.85</v>
      </c>
      <c r="AR22" s="295" t="str">
        <f t="shared" si="16"/>
        <v/>
      </c>
      <c r="AS22" s="9" t="e">
        <f>IF(MIN($AS$3:AS21)-1&lt;=0,"",AS21-1)</f>
        <v>#N/A</v>
      </c>
      <c r="AT22" s="296" t="e">
        <f t="shared" si="17"/>
        <v>#N/A</v>
      </c>
      <c r="AU22" s="295" t="e">
        <f t="shared" si="18"/>
        <v>#N/A</v>
      </c>
    </row>
    <row r="23" spans="1:51">
      <c r="A23" s="17" t="s">
        <v>44</v>
      </c>
      <c r="B23" s="45">
        <v>12.5</v>
      </c>
      <c r="C23" s="307"/>
      <c r="D23" s="20" t="str">
        <f t="shared" si="20"/>
        <v/>
      </c>
      <c r="E23" s="20" t="str">
        <f t="shared" si="19"/>
        <v/>
      </c>
      <c r="F23" s="22">
        <f t="shared" si="21"/>
        <v>1</v>
      </c>
      <c r="G23" s="243" t="str">
        <f t="shared" si="22"/>
        <v/>
      </c>
      <c r="H23" s="243" t="str">
        <f t="shared" si="23"/>
        <v/>
      </c>
      <c r="I23" s="1"/>
      <c r="J23" s="26" t="s">
        <v>389</v>
      </c>
      <c r="K23" s="1"/>
      <c r="L23" s="1"/>
      <c r="M23" s="1">
        <v>21</v>
      </c>
      <c r="N23" s="244">
        <f t="shared" si="4"/>
        <v>21</v>
      </c>
      <c r="O23" s="9" t="str">
        <f t="shared" si="25"/>
        <v>#30</v>
      </c>
      <c r="P23" s="92">
        <f t="shared" si="26"/>
        <v>0.6</v>
      </c>
      <c r="Q23" s="9" t="str">
        <f t="shared" si="28"/>
        <v/>
      </c>
      <c r="R23" s="21" t="str">
        <f ca="1">IF(Q23="","",IF(Split="x",IF(Fines_Cumulative="x",Q23/Split_Weight,SUM($Q$19:Q23)/Split_Weight+Split_Percent),IF(Fines_Cumulative="x",Q23/Split_Weight*(1-Split_Percent)+Split_Percent,SUM($Q$19:Q23)/Split_Weight*(1-Split_Percent)+Split_Percent)))</f>
        <v/>
      </c>
      <c r="S23" s="21" t="str">
        <f t="shared" si="27"/>
        <v/>
      </c>
      <c r="T23" s="138" t="str">
        <f>IF(AND(Q23="",SUM($R$3:S23)&gt;0),S24+((S22-S24)*(P23-P24)/(P22-P24)),S23)</f>
        <v/>
      </c>
      <c r="U23" s="9">
        <f t="shared" si="7"/>
        <v>2</v>
      </c>
      <c r="V23" s="289" t="str">
        <f t="shared" si="8"/>
        <v/>
      </c>
      <c r="W23" s="92" t="str">
        <f t="shared" si="2"/>
        <v/>
      </c>
      <c r="X23" s="291" t="str">
        <f t="shared" si="9"/>
        <v/>
      </c>
      <c r="Y23" s="292" t="str">
        <f>IF(V23="","",MIN($X$3:X23)-MAX(X24:$X$31))</f>
        <v/>
      </c>
      <c r="Z23" s="304" t="str">
        <f>IF(V23="","",MIN($W$3:W23)-MAX(W24:$W$31))</f>
        <v/>
      </c>
      <c r="AA23" s="294" t="str">
        <f>IF(V23="","",(V23-MAX(W24:$W$31))/Z23*Y23+MAX(X24:$X$31))</f>
        <v/>
      </c>
      <c r="AB23" s="295">
        <f t="shared" si="10"/>
        <v>1</v>
      </c>
      <c r="AC23" s="243">
        <f ca="1">IF(VLOOKUP($AC$1,Specs!$F$3:$AI$398,22,FALSE)="","",VLOOKUP($AC$1,Specs!$F$3:$AI$398,22,FALSE))</f>
        <v>1</v>
      </c>
      <c r="AD23" s="243">
        <f ca="1">IF(VLOOKUP($AC$2,Specs!$F$3:$AI$398,22,FALSE)="","",VLOOKUP($AC$2,Specs!$F$3:$AI$398,22,FALSE))</f>
        <v>0</v>
      </c>
      <c r="AE23" s="9">
        <f t="shared" si="24"/>
        <v>1</v>
      </c>
      <c r="AF23" s="244">
        <f>IF(AE23="","",MAX($AF$3:AF22)+1)</f>
        <v>21</v>
      </c>
      <c r="AG23" s="9">
        <f>IF(MIN($AG$3:AG22)-1&lt;=0,"",AG22-1)</f>
        <v>9</v>
      </c>
      <c r="AH23" s="290">
        <f t="shared" si="11"/>
        <v>25</v>
      </c>
      <c r="AI23" s="295">
        <f t="shared" si="12"/>
        <v>1</v>
      </c>
      <c r="AJ23" s="295">
        <f t="shared" si="13"/>
        <v>0</v>
      </c>
      <c r="AK23" s="295">
        <v>1</v>
      </c>
      <c r="AL23" s="1">
        <v>21</v>
      </c>
      <c r="AM23" s="299">
        <f>P11</f>
        <v>25</v>
      </c>
      <c r="AN23" s="295">
        <f>AB11</f>
        <v>1</v>
      </c>
      <c r="AO23" s="295">
        <f t="shared" si="14"/>
        <v>0</v>
      </c>
      <c r="AP23" s="244" t="str">
        <f>IF(AR23="","",MAX($AP$3:AP22)+1)</f>
        <v/>
      </c>
      <c r="AQ23" s="296">
        <f t="shared" si="15"/>
        <v>0.6</v>
      </c>
      <c r="AR23" s="295" t="str">
        <f t="shared" si="16"/>
        <v/>
      </c>
      <c r="AS23" s="9" t="e">
        <f>IF(MIN($AS$3:AS22)-1&lt;=0,"",AS22-1)</f>
        <v>#N/A</v>
      </c>
      <c r="AT23" s="296" t="e">
        <f t="shared" si="17"/>
        <v>#N/A</v>
      </c>
      <c r="AU23" s="295" t="e">
        <f t="shared" si="18"/>
        <v>#N/A</v>
      </c>
    </row>
    <row r="24" spans="1:51">
      <c r="A24" s="17" t="s">
        <v>45</v>
      </c>
      <c r="B24" s="45">
        <v>9.5</v>
      </c>
      <c r="C24" s="307"/>
      <c r="D24" s="20" t="str">
        <f t="shared" si="20"/>
        <v/>
      </c>
      <c r="E24" s="20" t="str">
        <f t="shared" si="19"/>
        <v/>
      </c>
      <c r="F24" s="22">
        <f t="shared" si="21"/>
        <v>1</v>
      </c>
      <c r="G24" s="243" t="str">
        <f t="shared" si="22"/>
        <v/>
      </c>
      <c r="H24" s="243" t="str">
        <f t="shared" si="23"/>
        <v/>
      </c>
      <c r="I24" s="1"/>
      <c r="J24" s="25" t="s">
        <v>47</v>
      </c>
      <c r="K24" s="28" t="s">
        <v>13</v>
      </c>
      <c r="L24" s="1"/>
      <c r="M24" s="1">
        <v>22</v>
      </c>
      <c r="N24" s="244">
        <f t="shared" si="4"/>
        <v>22</v>
      </c>
      <c r="O24" s="9" t="str">
        <f t="shared" si="25"/>
        <v>#40</v>
      </c>
      <c r="P24" s="92">
        <f t="shared" si="26"/>
        <v>0.42499999999999999</v>
      </c>
      <c r="Q24" s="9" t="str">
        <f t="shared" si="28"/>
        <v/>
      </c>
      <c r="R24" s="21" t="str">
        <f ca="1">IF(Q24="","",IF(Split="x",IF(Fines_Cumulative="x",Q24/Split_Weight,SUM($Q$19:Q24)/Split_Weight+Split_Percent),IF(Fines_Cumulative="x",Q24/Split_Weight*(1-Split_Percent)+Split_Percent,SUM($Q$19:Q24)/Split_Weight*(1-Split_Percent)+Split_Percent)))</f>
        <v/>
      </c>
      <c r="S24" s="21" t="str">
        <f t="shared" si="27"/>
        <v/>
      </c>
      <c r="T24" s="138" t="str">
        <f>IF(AND(Q24="",SUM($R$3:S24)&gt;0),S25+((S23-S25)*(P24-P25)/(P23-P25)),S24)</f>
        <v/>
      </c>
      <c r="U24" s="9">
        <f t="shared" si="7"/>
        <v>2</v>
      </c>
      <c r="V24" s="289" t="str">
        <f t="shared" si="8"/>
        <v/>
      </c>
      <c r="W24" s="92" t="str">
        <f t="shared" si="2"/>
        <v/>
      </c>
      <c r="X24" s="291" t="str">
        <f t="shared" si="9"/>
        <v/>
      </c>
      <c r="Y24" s="292" t="str">
        <f>IF(V24="","",MIN($X$3:X24)-MAX(X25:$X$31))</f>
        <v/>
      </c>
      <c r="Z24" s="304" t="str">
        <f>IF(V24="","",MIN($W$3:W24)-MAX(W25:$W$31))</f>
        <v/>
      </c>
      <c r="AA24" s="294" t="str">
        <f>IF(V24="","",(V24-MAX(W25:$W$31))/Z24*Y24+MAX(X25:$X$31))</f>
        <v/>
      </c>
      <c r="AB24" s="295">
        <f t="shared" si="10"/>
        <v>1</v>
      </c>
      <c r="AC24" s="243">
        <f ca="1">IF(VLOOKUP($AC$1,Specs!$F$3:$AI$398,23,FALSE)="","",VLOOKUP($AC$1,Specs!$F$3:$AI$398,23,FALSE))</f>
        <v>1</v>
      </c>
      <c r="AD24" s="243">
        <f ca="1">IF(VLOOKUP($AC$2,Specs!$F$3:$AI$398,23,FALSE)="","",VLOOKUP($AC$2,Specs!$F$3:$AI$398,23,FALSE))</f>
        <v>0</v>
      </c>
      <c r="AE24" s="9">
        <f t="shared" si="24"/>
        <v>1</v>
      </c>
      <c r="AF24" s="244">
        <f>IF(AE24="","",MAX($AF$3:AF23)+1)</f>
        <v>22</v>
      </c>
      <c r="AG24" s="9">
        <f>IF(MIN($AG$3:AG23)-1&lt;=0,"",AG23-1)</f>
        <v>8</v>
      </c>
      <c r="AH24" s="290">
        <f t="shared" si="11"/>
        <v>31.5</v>
      </c>
      <c r="AI24" s="295">
        <f t="shared" si="12"/>
        <v>1</v>
      </c>
      <c r="AJ24" s="295">
        <f t="shared" si="13"/>
        <v>0</v>
      </c>
      <c r="AK24" s="295">
        <v>1</v>
      </c>
      <c r="AL24" s="1">
        <v>22</v>
      </c>
      <c r="AM24" s="299">
        <f>P10</f>
        <v>31.5</v>
      </c>
      <c r="AN24" s="295">
        <f>AB10</f>
        <v>1</v>
      </c>
      <c r="AO24" s="295">
        <f t="shared" si="14"/>
        <v>0</v>
      </c>
      <c r="AP24" s="244" t="str">
        <f>IF(AR24="","",MAX($AP$3:AP23)+1)</f>
        <v/>
      </c>
      <c r="AQ24" s="296">
        <f t="shared" si="15"/>
        <v>0.42499999999999999</v>
      </c>
      <c r="AR24" s="295" t="str">
        <f t="shared" si="16"/>
        <v/>
      </c>
      <c r="AS24" s="9" t="e">
        <f>IF(MIN($AS$3:AS23)-1&lt;=0,"",AS23-1)</f>
        <v>#N/A</v>
      </c>
      <c r="AT24" s="296" t="e">
        <f t="shared" si="17"/>
        <v>#N/A</v>
      </c>
      <c r="AU24" s="295" t="e">
        <f t="shared" si="18"/>
        <v>#N/A</v>
      </c>
    </row>
    <row r="25" spans="1:51">
      <c r="A25" s="17" t="s">
        <v>46</v>
      </c>
      <c r="B25" s="45">
        <v>6.3</v>
      </c>
      <c r="C25" s="307"/>
      <c r="D25" s="20" t="str">
        <f t="shared" si="20"/>
        <v/>
      </c>
      <c r="E25" s="20" t="str">
        <f t="shared" si="19"/>
        <v/>
      </c>
      <c r="F25" s="22">
        <f t="shared" si="21"/>
        <v>1</v>
      </c>
      <c r="G25" s="243" t="str">
        <f t="shared" si="22"/>
        <v/>
      </c>
      <c r="H25" s="243" t="str">
        <f t="shared" si="23"/>
        <v/>
      </c>
      <c r="I25" s="1"/>
      <c r="J25" s="25" t="s">
        <v>49</v>
      </c>
      <c r="K25" s="29">
        <f ca="1">IF('Atterberg Limits'!D19="N/A",IF($K$24="x",0,"n/a"),'Atterberg Limits'!D19)</f>
        <v>0</v>
      </c>
      <c r="L25" s="1"/>
      <c r="M25" s="1">
        <v>23</v>
      </c>
      <c r="N25" s="244">
        <f t="shared" si="4"/>
        <v>23</v>
      </c>
      <c r="O25" s="9" t="str">
        <f t="shared" si="25"/>
        <v>#50</v>
      </c>
      <c r="P25" s="92">
        <f t="shared" si="26"/>
        <v>0.3</v>
      </c>
      <c r="Q25" s="9" t="str">
        <f t="shared" si="28"/>
        <v/>
      </c>
      <c r="R25" s="21" t="str">
        <f ca="1">IF(Q25="","",IF(Split="x",IF(Fines_Cumulative="x",Q25/Split_Weight,SUM($Q$19:Q25)/Split_Weight+Split_Percent),IF(Fines_Cumulative="x",Q25/Split_Weight*(1-Split_Percent)+Split_Percent,SUM($Q$19:Q25)/Split_Weight*(1-Split_Percent)+Split_Percent)))</f>
        <v/>
      </c>
      <c r="S25" s="21" t="str">
        <f t="shared" si="27"/>
        <v/>
      </c>
      <c r="T25" s="138" t="str">
        <f>IF(AND(Q25="",SUM($R$3:S25)&gt;0),S26+((S24-S26)*(P25-P26)/(P24-P26)),S25)</f>
        <v/>
      </c>
      <c r="U25" s="9">
        <f t="shared" si="7"/>
        <v>2</v>
      </c>
      <c r="V25" s="289" t="str">
        <f t="shared" si="8"/>
        <v/>
      </c>
      <c r="W25" s="92" t="str">
        <f t="shared" si="2"/>
        <v/>
      </c>
      <c r="X25" s="291" t="str">
        <f t="shared" si="9"/>
        <v/>
      </c>
      <c r="Y25" s="292" t="str">
        <f>IF(V25="","",MIN($X$3:X25)-MAX(X26:$X$31))</f>
        <v/>
      </c>
      <c r="Z25" s="304" t="str">
        <f>IF(V25="","",MIN($W$3:W25)-MAX(W26:$W$31))</f>
        <v/>
      </c>
      <c r="AA25" s="294" t="str">
        <f>IF(V25="","",(V25-MAX(W26:$W$31))/Z25*Y25+MAX(X26:$X$31))</f>
        <v/>
      </c>
      <c r="AB25" s="295">
        <f t="shared" si="10"/>
        <v>1</v>
      </c>
      <c r="AC25" s="243">
        <f ca="1">IF(VLOOKUP($AC$1,Specs!$F$3:$AI$398,24,FALSE)="","",VLOOKUP($AC$1,Specs!$F$3:$AI$398,24,FALSE))</f>
        <v>1</v>
      </c>
      <c r="AD25" s="243">
        <f ca="1">IF(VLOOKUP($AC$2,Specs!$F$3:$AI$398,24,FALSE)="","",VLOOKUP($AC$2,Specs!$F$3:$AI$398,24,FALSE))</f>
        <v>0</v>
      </c>
      <c r="AE25" s="9">
        <f t="shared" si="24"/>
        <v>1</v>
      </c>
      <c r="AF25" s="244">
        <f>IF(AE25="","",MAX($AF$3:AF24)+1)</f>
        <v>23</v>
      </c>
      <c r="AG25" s="9">
        <f>IF(MIN($AG$3:AG24)-1&lt;=0,"",AG24-1)</f>
        <v>7</v>
      </c>
      <c r="AH25" s="290">
        <f t="shared" si="11"/>
        <v>37.5</v>
      </c>
      <c r="AI25" s="295">
        <f t="shared" si="12"/>
        <v>1</v>
      </c>
      <c r="AJ25" s="295">
        <f t="shared" si="13"/>
        <v>0</v>
      </c>
      <c r="AK25" s="295">
        <v>1</v>
      </c>
      <c r="AL25" s="1">
        <v>23</v>
      </c>
      <c r="AM25" s="299">
        <f>P9</f>
        <v>37.5</v>
      </c>
      <c r="AN25" s="295">
        <f>AB9</f>
        <v>1</v>
      </c>
      <c r="AO25" s="295">
        <f t="shared" si="14"/>
        <v>0</v>
      </c>
      <c r="AP25" s="244" t="str">
        <f>IF(AR25="","",MAX($AP$3:AP24)+1)</f>
        <v/>
      </c>
      <c r="AQ25" s="296">
        <f t="shared" si="15"/>
        <v>0.3</v>
      </c>
      <c r="AR25" s="295" t="str">
        <f t="shared" si="16"/>
        <v/>
      </c>
      <c r="AS25" s="9" t="e">
        <f>IF(MIN($AS$3:AS24)-1&lt;=0,"",AS24-1)</f>
        <v>#N/A</v>
      </c>
      <c r="AT25" s="296" t="e">
        <f t="shared" si="17"/>
        <v>#N/A</v>
      </c>
      <c r="AU25" s="295" t="e">
        <f t="shared" si="18"/>
        <v>#N/A</v>
      </c>
    </row>
    <row r="26" spans="1:51">
      <c r="A26" s="17" t="s">
        <v>48</v>
      </c>
      <c r="B26" s="45">
        <v>4.75</v>
      </c>
      <c r="C26" s="307"/>
      <c r="D26" s="20" t="str">
        <f t="shared" si="20"/>
        <v/>
      </c>
      <c r="E26" s="20" t="str">
        <f t="shared" si="19"/>
        <v/>
      </c>
      <c r="F26" s="22">
        <f t="shared" si="21"/>
        <v>1</v>
      </c>
      <c r="G26" s="243" t="str">
        <f t="shared" si="22"/>
        <v/>
      </c>
      <c r="H26" s="243" t="str">
        <f t="shared" si="23"/>
        <v/>
      </c>
      <c r="I26" s="1"/>
      <c r="J26" s="25" t="s">
        <v>50</v>
      </c>
      <c r="K26" s="29">
        <f ca="1">IF('Atterberg Limits'!D19="N/A",IF($K$24="x",0,"n/a"),'Atterberg Limits'!D19)</f>
        <v>0</v>
      </c>
      <c r="L26" s="1"/>
      <c r="M26" s="1">
        <v>24</v>
      </c>
      <c r="N26" s="244">
        <f t="shared" si="4"/>
        <v>24</v>
      </c>
      <c r="O26" s="9" t="str">
        <f t="shared" si="25"/>
        <v>#60</v>
      </c>
      <c r="P26" s="92">
        <f t="shared" si="26"/>
        <v>0.25</v>
      </c>
      <c r="Q26" s="9" t="str">
        <f t="shared" si="28"/>
        <v/>
      </c>
      <c r="R26" s="21" t="str">
        <f ca="1">IF(Q26="","",IF(Split="x",IF(Fines_Cumulative="x",Q26/Split_Weight,SUM($Q$19:Q26)/Split_Weight+Split_Percent),IF(Fines_Cumulative="x",Q26/Split_Weight*(1-Split_Percent)+Split_Percent,SUM($Q$19:Q26)/Split_Weight*(1-Split_Percent)+Split_Percent)))</f>
        <v/>
      </c>
      <c r="S26" s="21" t="str">
        <f t="shared" si="27"/>
        <v/>
      </c>
      <c r="T26" s="138" t="str">
        <f>IF(AND(Q26="",SUM($R$3:S26)&gt;0),S27+((S25-S27)*(P26-P27)/(P25-P27)),S26)</f>
        <v/>
      </c>
      <c r="U26" s="9">
        <f t="shared" si="7"/>
        <v>2</v>
      </c>
      <c r="V26" s="289" t="str">
        <f t="shared" si="8"/>
        <v/>
      </c>
      <c r="W26" s="92" t="str">
        <f t="shared" si="2"/>
        <v/>
      </c>
      <c r="X26" s="291" t="str">
        <f t="shared" si="9"/>
        <v/>
      </c>
      <c r="Y26" s="292" t="str">
        <f>IF(V26="","",MIN($X$3:X26)-MAX(X27:$X$31))</f>
        <v/>
      </c>
      <c r="Z26" s="304" t="str">
        <f>IF(V26="","",MIN($W$3:W26)-MAX(W27:$W$31))</f>
        <v/>
      </c>
      <c r="AA26" s="294" t="str">
        <f>IF(V26="","",(V26-MAX(W27:$W$31))/Z26*Y26+MAX(X27:$X$31))</f>
        <v/>
      </c>
      <c r="AB26" s="295">
        <f t="shared" si="10"/>
        <v>1</v>
      </c>
      <c r="AC26" s="243">
        <f ca="1">IF(VLOOKUP($AC$1,Specs!$F$3:$AI$398,25,FALSE)="","",VLOOKUP($AC$1,Specs!$F$3:$AI$398,25,FALSE))</f>
        <v>1</v>
      </c>
      <c r="AD26" s="243">
        <f ca="1">IF(VLOOKUP($AC$2,Specs!$F$3:$AI$398,25,FALSE)="","",VLOOKUP($AC$2,Specs!$F$3:$AI$398,25,FALSE))</f>
        <v>0</v>
      </c>
      <c r="AE26" s="9">
        <f t="shared" si="24"/>
        <v>1</v>
      </c>
      <c r="AF26" s="244">
        <f>IF(AE26="","",MAX($AF$3:AF25)+1)</f>
        <v>24</v>
      </c>
      <c r="AG26" s="9">
        <f>IF(MIN($AG$3:AG25)-1&lt;=0,"",AG25-1)</f>
        <v>6</v>
      </c>
      <c r="AH26" s="290">
        <f t="shared" si="11"/>
        <v>45</v>
      </c>
      <c r="AI26" s="295">
        <f t="shared" si="12"/>
        <v>1</v>
      </c>
      <c r="AJ26" s="295">
        <f t="shared" si="13"/>
        <v>0</v>
      </c>
      <c r="AK26" s="295">
        <v>1</v>
      </c>
      <c r="AL26" s="1">
        <v>24</v>
      </c>
      <c r="AM26" s="299">
        <f>P8</f>
        <v>45</v>
      </c>
      <c r="AN26" s="295">
        <f>AB8</f>
        <v>1</v>
      </c>
      <c r="AO26" s="295">
        <f t="shared" si="14"/>
        <v>0</v>
      </c>
      <c r="AP26" s="244" t="str">
        <f>IF(AR26="","",MAX($AP$3:AP25)+1)</f>
        <v/>
      </c>
      <c r="AQ26" s="296">
        <f t="shared" si="15"/>
        <v>0.25</v>
      </c>
      <c r="AR26" s="295" t="str">
        <f t="shared" si="16"/>
        <v/>
      </c>
      <c r="AS26" s="9" t="e">
        <f>IF(MIN($AS$3:AS25)-1&lt;=0,"",AS25-1)</f>
        <v>#N/A</v>
      </c>
      <c r="AT26" s="296" t="e">
        <f t="shared" si="17"/>
        <v>#N/A</v>
      </c>
      <c r="AU26" s="295" t="e">
        <f t="shared" si="18"/>
        <v>#N/A</v>
      </c>
    </row>
    <row r="27" spans="1:51">
      <c r="B27" s="19" t="str">
        <f>IF(E3="x","Leave Blank","Pan Weight")</f>
        <v>Pan Weight</v>
      </c>
      <c r="C27" s="307"/>
      <c r="D27" s="20" t="str">
        <f>IF(ISERROR(T18),"",IF(T18=0,"",T18))</f>
        <v/>
      </c>
      <c r="E27" s="30"/>
      <c r="F27" s="30"/>
      <c r="G27" s="30"/>
      <c r="H27" s="30"/>
      <c r="I27" s="1"/>
      <c r="J27" s="25" t="s">
        <v>51</v>
      </c>
      <c r="K27" s="29">
        <f ca="1">IF('Atterberg Limits'!D20="N/A",IF($K$24="x",0,"n/a"),'Atterberg Limits'!D20)</f>
        <v>0</v>
      </c>
      <c r="L27" s="1"/>
      <c r="M27" s="1">
        <v>25</v>
      </c>
      <c r="N27" s="244">
        <f t="shared" si="4"/>
        <v>25</v>
      </c>
      <c r="O27" s="9" t="str">
        <f t="shared" si="25"/>
        <v>#80</v>
      </c>
      <c r="P27" s="92">
        <f t="shared" si="26"/>
        <v>0.18</v>
      </c>
      <c r="Q27" s="9" t="str">
        <f t="shared" si="28"/>
        <v/>
      </c>
      <c r="R27" s="21" t="str">
        <f ca="1">IF(Q27="","",IF(Split="x",IF(Fines_Cumulative="x",Q27/Split_Weight,SUM($Q$19:Q27)/Split_Weight+Split_Percent),IF(Fines_Cumulative="x",Q27/Split_Weight*(1-Split_Percent)+Split_Percent,SUM($Q$19:Q27)/Split_Weight*(1-Split_Percent)+Split_Percent)))</f>
        <v/>
      </c>
      <c r="S27" s="21" t="str">
        <f t="shared" si="27"/>
        <v/>
      </c>
      <c r="T27" s="138" t="str">
        <f>IF(AND(Q27="",SUM($R$3:S27)&gt;0),S28+((S26-S28)*(P27-P28)/(P26-P28)),S27)</f>
        <v/>
      </c>
      <c r="U27" s="9">
        <f t="shared" si="7"/>
        <v>2</v>
      </c>
      <c r="V27" s="289" t="str">
        <f t="shared" si="8"/>
        <v/>
      </c>
      <c r="W27" s="92" t="str">
        <f t="shared" si="2"/>
        <v/>
      </c>
      <c r="X27" s="291" t="str">
        <f t="shared" si="9"/>
        <v/>
      </c>
      <c r="Y27" s="292" t="str">
        <f>IF(V27="","",MIN($X$3:X27)-MAX(X28:$X$31))</f>
        <v/>
      </c>
      <c r="Z27" s="304" t="str">
        <f>IF(V27="","",MIN($W$3:W27)-MAX(W28:$W$31))</f>
        <v/>
      </c>
      <c r="AA27" s="294" t="str">
        <f>IF(V27="","",(V27-MAX(W28:$W$31))/Z27*Y27+MAX(X28:$X$31))</f>
        <v/>
      </c>
      <c r="AB27" s="295">
        <f t="shared" si="10"/>
        <v>1</v>
      </c>
      <c r="AC27" s="243">
        <f ca="1">IF(VLOOKUP($AC$1,Specs!$F$3:$AI$398,26,FALSE)="","",VLOOKUP($AC$1,Specs!$F$3:$AI$398,26,FALSE))</f>
        <v>1</v>
      </c>
      <c r="AD27" s="243">
        <f ca="1">IF(VLOOKUP($AC$2,Specs!$F$3:$AI$398,26,FALSE)="","",VLOOKUP($AC$2,Specs!$F$3:$AI$398,26,FALSE))</f>
        <v>0</v>
      </c>
      <c r="AE27" s="9">
        <f t="shared" si="24"/>
        <v>1</v>
      </c>
      <c r="AF27" s="244">
        <f>IF(AE27="","",MAX($AF$3:AF26)+1)</f>
        <v>25</v>
      </c>
      <c r="AG27" s="9">
        <f>IF(MIN($AG$3:AG26)-1&lt;=0,"",AG26-1)</f>
        <v>5</v>
      </c>
      <c r="AH27" s="290">
        <f t="shared" si="11"/>
        <v>50</v>
      </c>
      <c r="AI27" s="295">
        <f t="shared" si="12"/>
        <v>1</v>
      </c>
      <c r="AJ27" s="295">
        <f t="shared" si="13"/>
        <v>0</v>
      </c>
      <c r="AK27" s="295">
        <v>1</v>
      </c>
      <c r="AL27" s="1">
        <v>25</v>
      </c>
      <c r="AM27" s="299">
        <f>P7</f>
        <v>50</v>
      </c>
      <c r="AN27" s="295">
        <f>AB7</f>
        <v>1</v>
      </c>
      <c r="AO27" s="295">
        <f t="shared" si="14"/>
        <v>0</v>
      </c>
      <c r="AP27" s="244" t="str">
        <f>IF(AR27="","",MAX($AP$3:AP26)+1)</f>
        <v/>
      </c>
      <c r="AQ27" s="296">
        <f t="shared" si="15"/>
        <v>0.18</v>
      </c>
      <c r="AR27" s="295" t="str">
        <f t="shared" si="16"/>
        <v/>
      </c>
      <c r="AS27" s="9" t="e">
        <f>IF(MIN($AS$3:AS26)-1&lt;=0,"",AS26-1)</f>
        <v>#N/A</v>
      </c>
      <c r="AT27" s="296" t="e">
        <f t="shared" si="17"/>
        <v>#N/A</v>
      </c>
      <c r="AU27" s="295" t="e">
        <f t="shared" si="18"/>
        <v>#N/A</v>
      </c>
    </row>
    <row r="28" spans="1:51">
      <c r="B28" s="19" t="s">
        <v>52</v>
      </c>
      <c r="C28" s="45">
        <f>IF(E3="x",D31,IF(E7="x",(MAX(C11:C26)+C27),SUM(C11:C27)))</f>
        <v>0</v>
      </c>
      <c r="D28" s="17"/>
      <c r="E28" s="15"/>
      <c r="F28" s="15"/>
      <c r="G28" s="15"/>
      <c r="H28" s="15"/>
      <c r="I28" s="1"/>
      <c r="J28" s="25" t="s">
        <v>53</v>
      </c>
      <c r="K28" s="29">
        <f ca="1">IF('Atterberg Limits'!D21="N/A",IF($K$24="x",0,"n/a"),'Atterberg Limits'!D21)</f>
        <v>0</v>
      </c>
      <c r="L28" s="1"/>
      <c r="M28" s="1">
        <v>26</v>
      </c>
      <c r="N28" s="244">
        <f t="shared" si="4"/>
        <v>26</v>
      </c>
      <c r="O28" s="9" t="str">
        <f t="shared" si="25"/>
        <v>#100</v>
      </c>
      <c r="P28" s="92">
        <f t="shared" si="26"/>
        <v>0.15</v>
      </c>
      <c r="Q28" s="9" t="str">
        <f t="shared" si="28"/>
        <v/>
      </c>
      <c r="R28" s="21" t="str">
        <f ca="1">IF(Q28="","",IF(Split="x",IF(Fines_Cumulative="x",Q28/Split_Weight,SUM($Q$19:Q28)/Split_Weight+Split_Percent),IF(Fines_Cumulative="x",Q28/Split_Weight*(1-Split_Percent)+Split_Percent,SUM($Q$19:Q28)/Split_Weight*(1-Split_Percent)+Split_Percent)))</f>
        <v/>
      </c>
      <c r="S28" s="21" t="str">
        <f t="shared" si="27"/>
        <v/>
      </c>
      <c r="T28" s="138" t="str">
        <f>IF(AND(Q28="",SUM($R$3:S28)&gt;0),S29+((S27-S29)*(P28-P29)/(P27-P29)),S28)</f>
        <v/>
      </c>
      <c r="U28" s="9">
        <f t="shared" si="7"/>
        <v>2</v>
      </c>
      <c r="V28" s="289" t="str">
        <f t="shared" si="8"/>
        <v/>
      </c>
      <c r="W28" s="92" t="str">
        <f t="shared" si="2"/>
        <v/>
      </c>
      <c r="X28" s="291" t="str">
        <f t="shared" si="9"/>
        <v/>
      </c>
      <c r="Y28" s="292" t="str">
        <f>IF(V28="","",MIN($X$3:X28)-MAX(X29:$X$31))</f>
        <v/>
      </c>
      <c r="Z28" s="304" t="str">
        <f>IF(V28="","",MIN($W$3:W28)-MAX(W29:$W$31))</f>
        <v/>
      </c>
      <c r="AA28" s="294" t="str">
        <f>IF(V28="","",(V28-MAX(W29:$W$31))/Z28*Y28+MAX(X29:$X$31))</f>
        <v/>
      </c>
      <c r="AB28" s="295">
        <f t="shared" si="10"/>
        <v>1</v>
      </c>
      <c r="AC28" s="243">
        <f ca="1">IF(VLOOKUP($AC$1,Specs!$F$3:$AI$398,27,FALSE)="","",VLOOKUP($AC$1,Specs!$F$3:$AI$398,27,FALSE))</f>
        <v>1</v>
      </c>
      <c r="AD28" s="243">
        <f ca="1">IF(VLOOKUP($AC$2,Specs!$F$3:$AI$398,27,FALSE)="","",VLOOKUP($AC$2,Specs!$F$3:$AI$398,27,FALSE))</f>
        <v>0</v>
      </c>
      <c r="AE28" s="9">
        <f t="shared" si="24"/>
        <v>1</v>
      </c>
      <c r="AF28" s="244">
        <f>IF(AE28="","",MAX($AF$3:AF27)+1)</f>
        <v>26</v>
      </c>
      <c r="AG28" s="9">
        <f>IF(MIN($AG$3:AG27)-1&lt;=0,"",AG27-1)</f>
        <v>4</v>
      </c>
      <c r="AH28" s="290">
        <f t="shared" si="11"/>
        <v>63</v>
      </c>
      <c r="AI28" s="295">
        <f t="shared" si="12"/>
        <v>1</v>
      </c>
      <c r="AJ28" s="295">
        <f t="shared" si="13"/>
        <v>0</v>
      </c>
      <c r="AK28" s="295">
        <v>1</v>
      </c>
      <c r="AL28" s="1">
        <v>26</v>
      </c>
      <c r="AM28" s="299">
        <f>P6</f>
        <v>63</v>
      </c>
      <c r="AN28" s="295">
        <f>AB6</f>
        <v>1</v>
      </c>
      <c r="AO28" s="295">
        <f t="shared" si="14"/>
        <v>0</v>
      </c>
      <c r="AP28" s="244" t="str">
        <f>IF(AR28="","",MAX($AP$3:AP27)+1)</f>
        <v/>
      </c>
      <c r="AQ28" s="296">
        <f t="shared" si="15"/>
        <v>0.15</v>
      </c>
      <c r="AR28" s="295" t="str">
        <f t="shared" si="16"/>
        <v/>
      </c>
      <c r="AS28" s="9" t="e">
        <f>IF(MIN($AS$3:AS27)-1&lt;=0,"",AS27-1)</f>
        <v>#N/A</v>
      </c>
      <c r="AT28" s="296" t="e">
        <f t="shared" si="17"/>
        <v>#N/A</v>
      </c>
      <c r="AU28" s="295" t="e">
        <f t="shared" si="18"/>
        <v>#N/A</v>
      </c>
    </row>
    <row r="29" spans="1:51" ht="12.75">
      <c r="A29" s="1"/>
      <c r="B29" s="1"/>
      <c r="C29" s="253" t="s">
        <v>475</v>
      </c>
      <c r="D29" s="9"/>
      <c r="E29" s="1"/>
      <c r="F29" s="1"/>
      <c r="G29" s="1"/>
      <c r="H29" s="1"/>
      <c r="I29" s="1"/>
      <c r="L29" s="1"/>
      <c r="M29" s="1">
        <v>27</v>
      </c>
      <c r="N29" s="244">
        <f t="shared" si="4"/>
        <v>27</v>
      </c>
      <c r="O29" s="9" t="str">
        <f t="shared" si="25"/>
        <v>#140</v>
      </c>
      <c r="P29" s="92">
        <f t="shared" si="26"/>
        <v>0.106</v>
      </c>
      <c r="Q29" s="9" t="str">
        <f t="shared" si="28"/>
        <v/>
      </c>
      <c r="R29" s="21" t="str">
        <f ca="1">IF(Q29="","",IF(Split="x",IF(Fines_Cumulative="x",Q29/Split_Weight,SUM($Q$19:Q29)/Split_Weight+Split_Percent),IF(Fines_Cumulative="x",Q29/Split_Weight*(1-Split_Percent)+Split_Percent,SUM($Q$19:Q29)/Split_Weight*(1-Split_Percent)+Split_Percent)))</f>
        <v/>
      </c>
      <c r="S29" s="21" t="str">
        <f t="shared" si="27"/>
        <v/>
      </c>
      <c r="T29" s="138" t="str">
        <f>IF(AND(Q29="",SUM($R$3:S29)&gt;0),S30+((S28-S30)*(P29-P30)/(P28-P30)),S29)</f>
        <v/>
      </c>
      <c r="U29" s="9">
        <f t="shared" si="7"/>
        <v>2</v>
      </c>
      <c r="V29" s="289" t="str">
        <f t="shared" si="8"/>
        <v/>
      </c>
      <c r="W29" s="92" t="str">
        <f t="shared" si="2"/>
        <v/>
      </c>
      <c r="X29" s="291" t="str">
        <f t="shared" si="9"/>
        <v/>
      </c>
      <c r="Y29" s="292" t="str">
        <f>IF(V29="","",MIN($X$3:X29)-MAX(X30:$X$31))</f>
        <v/>
      </c>
      <c r="Z29" s="304" t="str">
        <f>IF(V29="","",MIN($W$3:W29)-MAX(W30:$W$31))</f>
        <v/>
      </c>
      <c r="AA29" s="294" t="str">
        <f>IF(V29="","",(V29-MAX(W30:$W$31))/Z29*Y29+MAX(X30:$X$31))</f>
        <v/>
      </c>
      <c r="AB29" s="295">
        <f t="shared" si="10"/>
        <v>1</v>
      </c>
      <c r="AC29" s="243">
        <f ca="1">IF(VLOOKUP($AC$1,Specs!$F$3:$AI$398,28,FALSE)="","",VLOOKUP($AC$1,Specs!$F$3:$AI$398,28,FALSE))</f>
        <v>1</v>
      </c>
      <c r="AD29" s="243">
        <f ca="1">IF(VLOOKUP($AC$2,Specs!$F$3:$AI$398,28,FALSE)="","",VLOOKUP($AC$2,Specs!$F$3:$AI$398,28,FALSE))</f>
        <v>0</v>
      </c>
      <c r="AE29" s="9">
        <f t="shared" si="24"/>
        <v>1</v>
      </c>
      <c r="AF29" s="244">
        <f>IF(AE29="","",MAX($AF$3:AF28)+1)</f>
        <v>27</v>
      </c>
      <c r="AG29" s="9">
        <f>IF(MIN($AG$3:AG28)-1&lt;=0,"",AG28-1)</f>
        <v>3</v>
      </c>
      <c r="AH29" s="290">
        <f t="shared" si="11"/>
        <v>75</v>
      </c>
      <c r="AI29" s="295">
        <f t="shared" si="12"/>
        <v>1</v>
      </c>
      <c r="AJ29" s="295">
        <f t="shared" si="13"/>
        <v>0</v>
      </c>
      <c r="AK29" s="295">
        <v>1</v>
      </c>
      <c r="AL29" s="1">
        <v>27</v>
      </c>
      <c r="AM29" s="299">
        <f>P5</f>
        <v>75</v>
      </c>
      <c r="AN29" s="295">
        <f>AB5</f>
        <v>1</v>
      </c>
      <c r="AO29" s="295">
        <f t="shared" si="14"/>
        <v>0</v>
      </c>
      <c r="AP29" s="244" t="str">
        <f>IF(AR29="","",MAX($AP$3:AP28)+1)</f>
        <v/>
      </c>
      <c r="AQ29" s="296">
        <f t="shared" si="15"/>
        <v>0.106</v>
      </c>
      <c r="AR29" s="295" t="str">
        <f t="shared" si="16"/>
        <v/>
      </c>
      <c r="AS29" s="9" t="e">
        <f>IF(MIN($AS$3:AS28)-1&lt;=0,"",AS28-1)</f>
        <v>#N/A</v>
      </c>
      <c r="AT29" s="296" t="e">
        <f t="shared" si="17"/>
        <v>#N/A</v>
      </c>
      <c r="AU29" s="295" t="e">
        <f t="shared" si="18"/>
        <v>#N/A</v>
      </c>
    </row>
    <row r="30" spans="1:51">
      <c r="A30" s="1"/>
      <c r="B30" s="1"/>
      <c r="C30" s="1"/>
      <c r="D30" s="137" t="s">
        <v>12</v>
      </c>
      <c r="E30" s="13" t="s">
        <v>13</v>
      </c>
      <c r="F30" s="1"/>
      <c r="G30" s="1"/>
      <c r="H30" s="1"/>
      <c r="I30" s="1"/>
      <c r="J30" s="11" t="s">
        <v>54</v>
      </c>
      <c r="K30" s="32">
        <f>IF(ISERROR((1-AB28+1-AB25+1-AB23+1-AB21+1-AB19+1-AB18+1-AB16+1-AB13+1-AB9+1-AB5)),"",(1-AB28+1-AB25+1-AB23+1-AB21+1-AB19+1-AB18+1-AB16+1-AB13+1-AB9+1-AB5))</f>
        <v>0</v>
      </c>
      <c r="L30" s="1"/>
      <c r="M30" s="1">
        <v>28</v>
      </c>
      <c r="N30" s="244">
        <f t="shared" si="4"/>
        <v>28</v>
      </c>
      <c r="O30" s="9" t="str">
        <f t="shared" si="25"/>
        <v>#170</v>
      </c>
      <c r="P30" s="92">
        <f t="shared" si="26"/>
        <v>0.09</v>
      </c>
      <c r="Q30" s="9" t="str">
        <f t="shared" si="28"/>
        <v/>
      </c>
      <c r="R30" s="21" t="str">
        <f ca="1">IF(Q30="","",IF(Split="x",IF(Fines_Cumulative="x",Q30/Split_Weight,SUM($Q$19:Q30)/Split_Weight+Split_Percent),IF(Fines_Cumulative="x",Q30/Split_Weight*(1-Split_Percent)+Split_Percent,SUM($Q$19:Q30)/Split_Weight*(1-Split_Percent)+Split_Percent)))</f>
        <v/>
      </c>
      <c r="S30" s="21" t="str">
        <f t="shared" si="27"/>
        <v/>
      </c>
      <c r="T30" s="138" t="str">
        <f>IF(AND(Q30="",SUM($R$3:S30)&gt;0),S31+((S29-S31)*(P30-P31)/(P29-P31)),S30)</f>
        <v/>
      </c>
      <c r="U30" s="9">
        <f t="shared" si="7"/>
        <v>2</v>
      </c>
      <c r="V30" s="289" t="str">
        <f t="shared" si="8"/>
        <v/>
      </c>
      <c r="W30" s="92" t="str">
        <f t="shared" si="2"/>
        <v/>
      </c>
      <c r="X30" s="291" t="str">
        <f t="shared" si="9"/>
        <v/>
      </c>
      <c r="Y30" s="292" t="str">
        <f>IF(V30="","",MIN($X$3:X30)-MAX(X31:$X$31))</f>
        <v/>
      </c>
      <c r="Z30" s="304" t="str">
        <f>IF(V30="","",MIN($W$3:W30)-MAX(W31:$W$31))</f>
        <v/>
      </c>
      <c r="AA30" s="294" t="str">
        <f>IF(V30="","",(V30-MAX(W31:$W$31))/Z30*Y30+MAX(X31:$X$31))</f>
        <v/>
      </c>
      <c r="AB30" s="295">
        <f t="shared" si="10"/>
        <v>1</v>
      </c>
      <c r="AC30" s="243">
        <f ca="1">IF(VLOOKUP($AC$1,Specs!$F$3:$AI$398,29,FALSE)="","",VLOOKUP($AC$1,Specs!$F$3:$AI$398,29,FALSE))</f>
        <v>1</v>
      </c>
      <c r="AD30" s="243">
        <f ca="1">IF(VLOOKUP($AC$2,Specs!$F$3:$AI$398,29,FALSE)="","",VLOOKUP($AC$2,Specs!$F$3:$AI$398,29,FALSE))</f>
        <v>0</v>
      </c>
      <c r="AE30" s="9">
        <f t="shared" si="24"/>
        <v>1</v>
      </c>
      <c r="AF30" s="244">
        <f>IF(AE30="","",MAX($AF$3:AF29)+1)</f>
        <v>28</v>
      </c>
      <c r="AG30" s="9">
        <f>IF(MIN($AG$3:AG29)-1&lt;=0,"",AG29-1)</f>
        <v>2</v>
      </c>
      <c r="AH30" s="290">
        <f t="shared" si="11"/>
        <v>100</v>
      </c>
      <c r="AI30" s="295">
        <f t="shared" si="12"/>
        <v>1</v>
      </c>
      <c r="AJ30" s="295">
        <f t="shared" si="13"/>
        <v>0</v>
      </c>
      <c r="AK30" s="295">
        <v>1</v>
      </c>
      <c r="AL30" s="1">
        <v>28</v>
      </c>
      <c r="AM30" s="299">
        <f>P4</f>
        <v>100</v>
      </c>
      <c r="AN30" s="295">
        <f>AB4</f>
        <v>1</v>
      </c>
      <c r="AO30" s="295">
        <f t="shared" si="14"/>
        <v>0</v>
      </c>
      <c r="AP30" s="244" t="str">
        <f>IF(AR30="","",MAX($AP$3:AP29)+1)</f>
        <v/>
      </c>
      <c r="AQ30" s="296">
        <f t="shared" si="15"/>
        <v>0.09</v>
      </c>
      <c r="AR30" s="295" t="str">
        <f t="shared" si="16"/>
        <v/>
      </c>
      <c r="AS30" s="9" t="e">
        <f>IF(MIN($AS$3:AS29)-1&lt;=0,"",AS29-1)</f>
        <v>#N/A</v>
      </c>
      <c r="AT30" s="296" t="e">
        <f t="shared" si="17"/>
        <v>#N/A</v>
      </c>
      <c r="AU30" s="295" t="e">
        <f t="shared" si="18"/>
        <v>#N/A</v>
      </c>
    </row>
    <row r="31" spans="1:51">
      <c r="A31" s="1"/>
      <c r="B31" s="1"/>
      <c r="C31" s="8" t="s">
        <v>59</v>
      </c>
      <c r="D31" s="34"/>
      <c r="E31" s="35" t="str">
        <f>IF(E3="x"," « Enter Total Sample Weight Here!","")</f>
        <v/>
      </c>
      <c r="F31" s="1"/>
      <c r="G31" s="1"/>
      <c r="H31" s="1"/>
      <c r="I31" s="1"/>
      <c r="L31" s="1"/>
      <c r="M31" s="1">
        <v>29</v>
      </c>
      <c r="N31" s="244">
        <f t="shared" si="4"/>
        <v>29</v>
      </c>
      <c r="O31" s="9" t="str">
        <f t="shared" si="25"/>
        <v>#200</v>
      </c>
      <c r="P31" s="92">
        <f t="shared" si="26"/>
        <v>7.4999999999999997E-2</v>
      </c>
      <c r="Q31" s="9" t="str">
        <f t="shared" si="28"/>
        <v/>
      </c>
      <c r="R31" s="21" t="str">
        <f ca="1">IF(Q31="","",IF(Split="x",IF(Fines_Cumulative="x",Q31/Split_Weight,SUM($Q$19:Q31)/Split_Weight+Split_Percent),IF(Fines_Cumulative="x",Q31/Split_Weight*(1-Split_Percent)+Split_Percent,SUM($Q$19:Q31)/Split_Weight*(1-Split_Percent)+Split_Percent)))</f>
        <v/>
      </c>
      <c r="S31" s="36" t="str">
        <f t="shared" si="27"/>
        <v/>
      </c>
      <c r="T31" s="138" t="str">
        <f>IF(AND(Q31="",SUM($R$3:S31)&gt;0),S32+((S30-S32)*(P31-P32)/(P30-P32)),S31)</f>
        <v/>
      </c>
      <c r="U31" s="9">
        <f t="shared" si="7"/>
        <v>2</v>
      </c>
      <c r="V31" s="289" t="str">
        <f t="shared" si="8"/>
        <v/>
      </c>
      <c r="W31" s="92" t="str">
        <f t="shared" si="2"/>
        <v/>
      </c>
      <c r="X31" s="291" t="str">
        <f t="shared" si="9"/>
        <v/>
      </c>
      <c r="Y31" s="292" t="str">
        <f>IF(V31="","",MIN($X$3:X31)-MAX(X$31:$X32))</f>
        <v/>
      </c>
      <c r="Z31" s="304" t="str">
        <f>IF(V31="","",MIN($W$3:W31)-MAX(W$31:$W32))</f>
        <v/>
      </c>
      <c r="AA31" s="294" t="str">
        <f>IF(V31="","",(V31-MAX(W$31:$W32))/Z31*Y31)</f>
        <v/>
      </c>
      <c r="AB31" s="295">
        <f t="shared" si="10"/>
        <v>1</v>
      </c>
      <c r="AC31" s="243">
        <f ca="1">IF(VLOOKUP($AC$1,Specs!$F$3:$AI$398,30,FALSE)="","",VLOOKUP($AC$1,Specs!$F$3:$AI$398,30,FALSE))</f>
        <v>1</v>
      </c>
      <c r="AD31" s="243">
        <f ca="1">IF(VLOOKUP($AC$2,Specs!$F$3:$AI$398,30,FALSE)="","",VLOOKUP($AC$2,Specs!$F$3:$AI$398,30,FALSE))</f>
        <v>0</v>
      </c>
      <c r="AE31" s="9">
        <f t="shared" si="24"/>
        <v>1</v>
      </c>
      <c r="AF31" s="244">
        <f>IF(AE31="","",MAX($AF$3:AF30)+1)</f>
        <v>29</v>
      </c>
      <c r="AG31" s="9">
        <f>IF(MIN($AG$3:AG30)-1&lt;=0,"",AG30-1)</f>
        <v>1</v>
      </c>
      <c r="AH31" s="290">
        <f t="shared" si="11"/>
        <v>150</v>
      </c>
      <c r="AI31" s="295">
        <f t="shared" si="12"/>
        <v>1</v>
      </c>
      <c r="AJ31" s="295">
        <f t="shared" si="13"/>
        <v>0</v>
      </c>
      <c r="AK31" s="295">
        <v>1</v>
      </c>
      <c r="AL31" s="1">
        <v>29</v>
      </c>
      <c r="AM31" s="299">
        <f>P3</f>
        <v>150</v>
      </c>
      <c r="AN31" s="295">
        <f>AB3</f>
        <v>1</v>
      </c>
      <c r="AO31" s="295">
        <f t="shared" si="14"/>
        <v>0</v>
      </c>
      <c r="AP31" s="244" t="str">
        <f>IF(AR31="","",MAX($AP$3:AP30)+1)</f>
        <v/>
      </c>
      <c r="AQ31" s="296">
        <f t="shared" si="15"/>
        <v>7.4999999999999997E-2</v>
      </c>
      <c r="AR31" s="295" t="str">
        <f t="shared" si="16"/>
        <v/>
      </c>
      <c r="AS31" s="9" t="e">
        <f>IF(MIN($AS$3:AS30)-1&lt;=0,"",AS30-1)</f>
        <v>#N/A</v>
      </c>
      <c r="AT31" s="296" t="e">
        <f t="shared" si="17"/>
        <v>#N/A</v>
      </c>
      <c r="AU31" s="295" t="e">
        <f t="shared" si="18"/>
        <v>#N/A</v>
      </c>
    </row>
    <row r="32" spans="1:51" ht="12.75">
      <c r="A32" s="1"/>
      <c r="B32" s="1"/>
      <c r="C32" s="8" t="s">
        <v>60</v>
      </c>
      <c r="D32" s="34"/>
      <c r="E32" s="8" t="s">
        <v>61</v>
      </c>
      <c r="F32" s="36" t="str">
        <f>IF(ISERROR(ABS((D32-D33)/D32)),"",ABS((D32-D33)/D32))</f>
        <v/>
      </c>
      <c r="G32" s="24" t="str">
        <f>IF(AND(E3="x",E7="",D31&lt;&gt;C28),"There appears to be a weighing error !","")</f>
        <v/>
      </c>
      <c r="H32" s="36"/>
      <c r="I32" s="1"/>
      <c r="J32" s="8" t="s">
        <v>55</v>
      </c>
      <c r="K32" s="27">
        <f>IF(ISERROR(AX15),"",AX15)</f>
        <v>7.4999999999999997E-3</v>
      </c>
      <c r="L32" s="31" t="s">
        <v>56</v>
      </c>
      <c r="M32" s="27"/>
      <c r="N32" s="27"/>
      <c r="Q32" s="92"/>
      <c r="R32" s="92"/>
      <c r="S32" s="92"/>
      <c r="T32" s="27"/>
      <c r="AF32" s="244" t="str">
        <f>IF(AE32="","",MAX(AF31:AF32)+1)</f>
        <v/>
      </c>
      <c r="AG32" s="244"/>
      <c r="AL32" s="27"/>
    </row>
    <row r="33" spans="1:38" ht="12.75">
      <c r="A33" s="1"/>
      <c r="B33" s="1"/>
      <c r="C33" s="8" t="s">
        <v>63</v>
      </c>
      <c r="D33" s="39">
        <f>IF(E30="x",C50,SUM(C37:C50))</f>
        <v>0</v>
      </c>
      <c r="E33" s="9"/>
      <c r="F33" s="40" t="str">
        <f>IF(F32&gt;0.003,"Invalid, Repeat Test","Valid Test")</f>
        <v>Invalid, Repeat Test</v>
      </c>
      <c r="G33" s="41"/>
      <c r="H33" s="41"/>
      <c r="I33" s="1"/>
      <c r="J33" s="8" t="s">
        <v>57</v>
      </c>
      <c r="K33" s="27">
        <f>IF(ISERROR(AX16),"",AX16)</f>
        <v>2.2499999999999999E-2</v>
      </c>
      <c r="L33" s="31" t="s">
        <v>56</v>
      </c>
      <c r="M33" s="27"/>
      <c r="N33" s="27"/>
      <c r="Q33" s="247"/>
      <c r="R33" s="248"/>
      <c r="S33" s="92">
        <f>IF(ISNA(T33),ERROR.TYPE(T33),1)</f>
        <v>7</v>
      </c>
      <c r="T33" s="249" t="e">
        <f>IF(R40="","",VLOOKUP(R40,Q41:W76,3))</f>
        <v>#N/A</v>
      </c>
      <c r="U33" s="249"/>
      <c r="V33" s="1"/>
      <c r="W33" s="9"/>
      <c r="X33" s="1"/>
      <c r="Y33" s="1"/>
      <c r="AH33" s="290">
        <f>AH3</f>
        <v>7.4999999999999997E-2</v>
      </c>
      <c r="AI33" s="295">
        <f t="shared" ref="AI33:AJ61" si="29">1-AI3</f>
        <v>0</v>
      </c>
      <c r="AJ33" s="295">
        <f t="shared" si="29"/>
        <v>1</v>
      </c>
      <c r="AL33" s="27"/>
    </row>
    <row r="34" spans="1:38" ht="12.75">
      <c r="A34" s="15"/>
      <c r="B34" s="15"/>
      <c r="C34" s="16" t="str">
        <f ca="1">IF(Fines_Cumulative="x","Cumulative","Individual")</f>
        <v>Cumulative</v>
      </c>
      <c r="D34" s="17" t="s">
        <v>15</v>
      </c>
      <c r="E34" s="17" t="s">
        <v>15</v>
      </c>
      <c r="F34" s="17" t="s">
        <v>16</v>
      </c>
      <c r="G34" s="18"/>
      <c r="H34" s="18"/>
      <c r="I34" s="1"/>
      <c r="J34" s="8" t="s">
        <v>58</v>
      </c>
      <c r="K34" s="27">
        <f>IF(ISERROR(AX17),"",AX17)</f>
        <v>4.4999999999999998E-2</v>
      </c>
      <c r="L34" s="31" t="s">
        <v>56</v>
      </c>
      <c r="M34" s="27"/>
      <c r="N34" s="27"/>
      <c r="Q34" s="247"/>
      <c r="R34" s="248" t="s">
        <v>284</v>
      </c>
      <c r="S34" s="92">
        <f>IF(ISNA(T34),ERROR.TYPE(T34),1)</f>
        <v>1</v>
      </c>
      <c r="T34" s="249" t="str">
        <f>IF(ISERROR(VLOOKUP(T40,Q41:W76,5)),#N/A,IF(T40="","",VLOOKUP(T40,Q41:W76,5)))</f>
        <v>ML, Silt</v>
      </c>
      <c r="U34" s="92"/>
      <c r="V34" s="1"/>
      <c r="W34" s="9"/>
      <c r="X34" s="1"/>
      <c r="Y34" s="1"/>
      <c r="AH34" s="290">
        <f t="shared" ref="AH34:AH61" si="30">AH4</f>
        <v>0.09</v>
      </c>
      <c r="AI34" s="295">
        <f t="shared" si="29"/>
        <v>0</v>
      </c>
      <c r="AJ34" s="295">
        <f t="shared" si="29"/>
        <v>1</v>
      </c>
      <c r="AL34" s="27"/>
    </row>
    <row r="35" spans="1:38" ht="12.75">
      <c r="A35" s="19" t="s">
        <v>18</v>
      </c>
      <c r="B35" s="44" t="s">
        <v>23</v>
      </c>
      <c r="C35" s="17" t="s">
        <v>19</v>
      </c>
      <c r="D35" s="17" t="s">
        <v>20</v>
      </c>
      <c r="E35" s="17" t="s">
        <v>21</v>
      </c>
      <c r="F35" s="17" t="s">
        <v>21</v>
      </c>
      <c r="G35" s="18" t="s">
        <v>22</v>
      </c>
      <c r="H35" s="18"/>
      <c r="I35" s="1"/>
      <c r="J35" s="8" t="s">
        <v>68</v>
      </c>
      <c r="K35" s="38">
        <f>IF(ISERROR((K33*K33)/(K32*K34)),"",(K33*K33)/(K32*K34))</f>
        <v>1.5</v>
      </c>
      <c r="L35" s="1"/>
      <c r="M35" s="27"/>
      <c r="N35" s="27"/>
      <c r="Q35" s="248" t="s">
        <v>88</v>
      </c>
      <c r="R35" s="248" t="s">
        <v>285</v>
      </c>
      <c r="S35" s="92">
        <f>IF(ISNA(T35),ERROR.TYPE(T35),1)</f>
        <v>7</v>
      </c>
      <c r="T35" s="249" t="e">
        <f>IF(V40="","",VLOOKUP(V40,Q41:W76,7))</f>
        <v>#N/A</v>
      </c>
      <c r="U35" s="249"/>
      <c r="V35" s="1"/>
      <c r="W35" s="9"/>
      <c r="X35" s="1"/>
      <c r="Y35" s="1"/>
      <c r="AH35" s="290">
        <f t="shared" si="30"/>
        <v>0.106</v>
      </c>
      <c r="AI35" s="295">
        <f t="shared" si="29"/>
        <v>0</v>
      </c>
      <c r="AJ35" s="295">
        <f t="shared" si="29"/>
        <v>1</v>
      </c>
      <c r="AL35" s="27"/>
    </row>
    <row r="36" spans="1:38" ht="12.75">
      <c r="A36" s="17" t="s">
        <v>80</v>
      </c>
      <c r="B36" s="17" t="s">
        <v>56</v>
      </c>
      <c r="C36" s="17" t="s">
        <v>24</v>
      </c>
      <c r="D36" s="17" t="s">
        <v>19</v>
      </c>
      <c r="E36" s="17" t="s">
        <v>25</v>
      </c>
      <c r="F36" s="17" t="s">
        <v>25</v>
      </c>
      <c r="G36" s="18" t="s">
        <v>27</v>
      </c>
      <c r="H36" s="18" t="s">
        <v>26</v>
      </c>
      <c r="I36" s="1"/>
      <c r="J36" s="8" t="s">
        <v>70</v>
      </c>
      <c r="K36" s="38">
        <f>IF(ISERROR(K34/K32),"",K34/K32)</f>
        <v>6</v>
      </c>
      <c r="L36" s="1"/>
      <c r="M36" s="27"/>
      <c r="N36" s="27"/>
      <c r="Q36" s="248" t="str">
        <f ca="1">IF(Silt_Clay&lt;0.5,"Coarse","")</f>
        <v/>
      </c>
      <c r="R36" s="248" t="str">
        <f>IF(K42&lt;0.05,"Yes","")</f>
        <v/>
      </c>
      <c r="S36" s="92"/>
      <c r="T36" s="250"/>
      <c r="U36" s="251"/>
      <c r="V36" s="250"/>
      <c r="W36" s="9"/>
      <c r="X36" s="1"/>
      <c r="Y36" s="1"/>
      <c r="AH36" s="290">
        <f t="shared" si="30"/>
        <v>0.15</v>
      </c>
      <c r="AI36" s="295">
        <f t="shared" si="29"/>
        <v>0</v>
      </c>
      <c r="AJ36" s="295">
        <f t="shared" si="29"/>
        <v>1</v>
      </c>
      <c r="AL36" s="27"/>
    </row>
    <row r="37" spans="1:38">
      <c r="A37" s="17" t="s">
        <v>66</v>
      </c>
      <c r="B37" s="45">
        <v>2.36</v>
      </c>
      <c r="C37" s="308"/>
      <c r="D37" s="20" t="str">
        <f>IF(R19=0,"",R19)</f>
        <v/>
      </c>
      <c r="E37" s="20" t="str">
        <f>IF(S19=0,"",S19)</f>
        <v/>
      </c>
      <c r="F37" s="22">
        <f>IF(ISERROR(AB19),"",AB19)</f>
        <v>1</v>
      </c>
      <c r="G37" s="23" t="str">
        <f>IF($AB$1=1, "",AC19)</f>
        <v/>
      </c>
      <c r="H37" s="23" t="str">
        <f>IF($AB$1=1, "",AD19)</f>
        <v/>
      </c>
      <c r="I37" s="1"/>
      <c r="J37" s="1"/>
      <c r="K37" s="8"/>
      <c r="L37" s="1"/>
      <c r="M37" s="31"/>
      <c r="N37" s="31"/>
      <c r="Q37" s="248" t="str">
        <f>IF(K42&gt;=0.5,"Fine","")</f>
        <v>Fine</v>
      </c>
      <c r="R37" s="248" t="str">
        <f>IF(AND(K42&gt;=0.05,K42&lt;=0.12),"Yes","")</f>
        <v/>
      </c>
      <c r="S37" s="92"/>
      <c r="T37" s="250"/>
      <c r="U37" s="247"/>
      <c r="V37" s="250"/>
      <c r="W37" s="9"/>
      <c r="X37" s="1"/>
      <c r="Y37" s="1"/>
      <c r="AH37" s="290">
        <f t="shared" si="30"/>
        <v>0.18</v>
      </c>
      <c r="AI37" s="295">
        <f t="shared" si="29"/>
        <v>0</v>
      </c>
      <c r="AJ37" s="295">
        <f t="shared" si="29"/>
        <v>1</v>
      </c>
      <c r="AL37" s="31"/>
    </row>
    <row r="38" spans="1:38">
      <c r="A38" s="17" t="s">
        <v>67</v>
      </c>
      <c r="B38" s="45">
        <v>2</v>
      </c>
      <c r="C38" s="308"/>
      <c r="D38" s="20" t="str">
        <f t="shared" ref="D38:E49" si="31">IF(R20=0,"",R20)</f>
        <v/>
      </c>
      <c r="E38" s="20" t="str">
        <f t="shared" si="31"/>
        <v/>
      </c>
      <c r="F38" s="22">
        <f t="shared" ref="F38:F49" si="32">IF(ISERROR(AB20),"",AB20)</f>
        <v>1</v>
      </c>
      <c r="G38" s="23" t="str">
        <f t="shared" ref="G38:G49" si="33">IF($AB$1=1, "",AC20)</f>
        <v/>
      </c>
      <c r="H38" s="23" t="str">
        <f t="shared" ref="H38:H49" si="34">IF($AB$1=1, "",AD20)</f>
        <v/>
      </c>
      <c r="I38" s="1"/>
      <c r="J38" s="8" t="s">
        <v>62</v>
      </c>
      <c r="K38" s="37">
        <f>IF(ISERROR(1-F26),"",1-F26)</f>
        <v>0</v>
      </c>
      <c r="L38" s="1"/>
      <c r="M38" s="31"/>
      <c r="N38" s="31"/>
      <c r="Q38" s="248" t="str">
        <f ca="1">IF(OR(Liquid_Limit=0,Liquid_Limit="",K25=0,K25=""),"",IF(K25/Liquid_Limit&lt;0.75,"Organic",""))</f>
        <v/>
      </c>
      <c r="R38" s="248" t="str">
        <f>IF(K42&gt;0.12,"Yes","")</f>
        <v>Yes</v>
      </c>
      <c r="S38" s="92"/>
      <c r="T38" s="9"/>
      <c r="U38" s="248"/>
      <c r="V38" s="250"/>
      <c r="W38" s="9"/>
      <c r="X38" s="1"/>
      <c r="Y38" s="1"/>
      <c r="AH38" s="290">
        <f t="shared" si="30"/>
        <v>0.25</v>
      </c>
      <c r="AI38" s="295">
        <f t="shared" si="29"/>
        <v>0</v>
      </c>
      <c r="AJ38" s="295">
        <f t="shared" si="29"/>
        <v>1</v>
      </c>
      <c r="AL38" s="31"/>
    </row>
    <row r="39" spans="1:38">
      <c r="A39" s="17" t="s">
        <v>69</v>
      </c>
      <c r="B39" s="45">
        <v>1.18</v>
      </c>
      <c r="C39" s="308"/>
      <c r="D39" s="20" t="str">
        <f t="shared" si="31"/>
        <v/>
      </c>
      <c r="E39" s="20" t="str">
        <f t="shared" si="31"/>
        <v/>
      </c>
      <c r="F39" s="22">
        <f t="shared" si="32"/>
        <v>1</v>
      </c>
      <c r="G39" s="23" t="str">
        <f t="shared" si="33"/>
        <v/>
      </c>
      <c r="H39" s="23" t="str">
        <f t="shared" si="34"/>
        <v/>
      </c>
      <c r="I39" s="1"/>
      <c r="J39" s="8" t="s">
        <v>64</v>
      </c>
      <c r="K39" s="37">
        <f>IF(ISERROR(F26-F49),"",F26-F49)</f>
        <v>0</v>
      </c>
      <c r="L39" s="33"/>
      <c r="M39" s="31"/>
      <c r="N39" s="31"/>
      <c r="O39" s="8"/>
      <c r="P39" s="8"/>
      <c r="Q39" s="9">
        <f>COUNT(Q36:Q38)</f>
        <v>0</v>
      </c>
      <c r="R39" s="9"/>
      <c r="S39" s="92"/>
      <c r="T39" s="9"/>
      <c r="U39" s="250"/>
      <c r="V39" s="250"/>
      <c r="W39" s="9"/>
      <c r="X39" s="1"/>
      <c r="Y39" s="1"/>
      <c r="AH39" s="290">
        <f t="shared" si="30"/>
        <v>0.3</v>
      </c>
      <c r="AI39" s="295">
        <f t="shared" si="29"/>
        <v>0</v>
      </c>
      <c r="AJ39" s="295">
        <f t="shared" si="29"/>
        <v>1</v>
      </c>
      <c r="AL39" s="31"/>
    </row>
    <row r="40" spans="1:38">
      <c r="A40" s="17" t="s">
        <v>71</v>
      </c>
      <c r="B40" s="45">
        <v>0.85</v>
      </c>
      <c r="C40" s="308"/>
      <c r="D40" s="20" t="str">
        <f t="shared" si="31"/>
        <v/>
      </c>
      <c r="E40" s="20" t="str">
        <f t="shared" si="31"/>
        <v/>
      </c>
      <c r="F40" s="22">
        <f t="shared" si="32"/>
        <v>1</v>
      </c>
      <c r="G40" s="23" t="str">
        <f t="shared" si="33"/>
        <v/>
      </c>
      <c r="H40" s="23" t="str">
        <f t="shared" si="34"/>
        <v/>
      </c>
      <c r="I40" s="1"/>
      <c r="J40" s="8" t="s">
        <v>65</v>
      </c>
      <c r="K40" s="37">
        <f>F49</f>
        <v>1</v>
      </c>
      <c r="L40" s="33"/>
      <c r="M40" s="1"/>
      <c r="N40" s="1"/>
      <c r="O40" s="38"/>
      <c r="P40" s="38"/>
      <c r="Q40" s="9"/>
      <c r="R40" s="9">
        <f>MAX(R41:R76)</f>
        <v>0</v>
      </c>
      <c r="S40" s="252" t="s">
        <v>286</v>
      </c>
      <c r="T40" s="9">
        <f>MAX(T41:T75)</f>
        <v>15</v>
      </c>
      <c r="U40" s="252" t="s">
        <v>287</v>
      </c>
      <c r="V40" s="9">
        <f>MAX(V41:V68)</f>
        <v>0</v>
      </c>
      <c r="W40" s="252" t="s">
        <v>288</v>
      </c>
      <c r="X40" s="9" t="s">
        <v>220</v>
      </c>
      <c r="Y40" s="1"/>
      <c r="AH40" s="290">
        <f t="shared" si="30"/>
        <v>0.42499999999999999</v>
      </c>
      <c r="AI40" s="295">
        <f t="shared" si="29"/>
        <v>0</v>
      </c>
      <c r="AJ40" s="295">
        <f t="shared" si="29"/>
        <v>1</v>
      </c>
      <c r="AL40" s="1"/>
    </row>
    <row r="41" spans="1:38">
      <c r="A41" s="17" t="s">
        <v>72</v>
      </c>
      <c r="B41" s="46">
        <v>0.6</v>
      </c>
      <c r="C41" s="308"/>
      <c r="D41" s="20" t="str">
        <f t="shared" si="31"/>
        <v/>
      </c>
      <c r="E41" s="20" t="str">
        <f t="shared" si="31"/>
        <v/>
      </c>
      <c r="F41" s="22">
        <f t="shared" si="32"/>
        <v>1</v>
      </c>
      <c r="G41" s="23" t="str">
        <f t="shared" si="33"/>
        <v/>
      </c>
      <c r="H41" s="23" t="str">
        <f t="shared" si="34"/>
        <v/>
      </c>
      <c r="I41" s="1"/>
      <c r="J41" s="8" t="s">
        <v>215</v>
      </c>
      <c r="K41" s="42" t="str">
        <f ca="1">IF(ISERROR(Hydrometer!B24),"N/A, Run Hydrometer",Hydrometer!B24)</f>
        <v>N/A, Run Hydrometer</v>
      </c>
      <c r="L41" s="33"/>
      <c r="M41" s="33"/>
      <c r="N41" s="33"/>
      <c r="O41" s="38"/>
      <c r="P41" s="38"/>
      <c r="Q41" s="9">
        <v>1</v>
      </c>
      <c r="R41" s="9" t="str">
        <f ca="1">IF(AND(Organic="",Silt_Clay&lt;0.5),IF(Gravel&gt;Sand,IF(Silt_Clay&lt;0.05,IF(AND(CU&gt;=4,CC&gt;=1,CC&lt;=3),IF(Sand&lt;0.15,Q41,""),""),""),""),"")</f>
        <v/>
      </c>
      <c r="S41" s="31" t="s">
        <v>289</v>
      </c>
      <c r="T41" s="9" t="str">
        <f ca="1">IF(AND(Organic="",Silt_Clay&gt;=0.5,Liquid_Limit&lt;0.5),IF(AND(Plasticity_Index&gt;0.07,Plasticity_Index&gt;=0.73*(Liquid_Limit-0.2)),IF(Silt_Clay&gt;0.7,IF(Silt_Clay&gt;0.85,Q41,""),""),""),"")</f>
        <v/>
      </c>
      <c r="U41" s="31" t="s">
        <v>290</v>
      </c>
      <c r="V41" s="9" t="str">
        <f ca="1">IF(Organic="x",IF(Liquid_Limit&lt;0.5,IF(AND(Plasticity_Index&gt;=0.04,Plasticity_Index&gt;=0.73*(Liquid_Limit-0.2)),IF(Silt_Clay&gt;0.7,IF(Silt_Clay&gt;0.85,Q41,""),""),""),""),"")</f>
        <v/>
      </c>
      <c r="W41" s="31" t="s">
        <v>291</v>
      </c>
      <c r="X41" s="9"/>
      <c r="Y41" s="1"/>
      <c r="AH41" s="290">
        <f t="shared" si="30"/>
        <v>0.6</v>
      </c>
      <c r="AI41" s="295">
        <f t="shared" si="29"/>
        <v>0</v>
      </c>
      <c r="AJ41" s="295">
        <f t="shared" si="29"/>
        <v>1</v>
      </c>
      <c r="AL41" s="33"/>
    </row>
    <row r="42" spans="1:38">
      <c r="A42" s="17" t="s">
        <v>73</v>
      </c>
      <c r="B42" s="46">
        <v>0.42499999999999999</v>
      </c>
      <c r="C42" s="308"/>
      <c r="D42" s="20" t="str">
        <f t="shared" si="31"/>
        <v/>
      </c>
      <c r="E42" s="20" t="str">
        <f t="shared" si="31"/>
        <v/>
      </c>
      <c r="F42" s="22">
        <f t="shared" si="32"/>
        <v>1</v>
      </c>
      <c r="G42" s="23" t="str">
        <f t="shared" si="33"/>
        <v/>
      </c>
      <c r="H42" s="23" t="str">
        <f t="shared" si="34"/>
        <v/>
      </c>
      <c r="I42" s="1"/>
      <c r="J42" s="8" t="s">
        <v>216</v>
      </c>
      <c r="K42" s="42" t="str">
        <f ca="1">IF(ISERROR(Hydrometer!B25),"N/A, Run Hydrometer",Hydrometer!B25)</f>
        <v>N/A, Run Hydrometer</v>
      </c>
      <c r="L42" s="8"/>
      <c r="M42" s="33"/>
      <c r="N42" s="33"/>
      <c r="O42" s="38"/>
      <c r="P42" s="38"/>
      <c r="Q42" s="9">
        <v>2</v>
      </c>
      <c r="R42" s="9" t="str">
        <f ca="1">IF(AND(Organic="",Silt_Clay&lt;0.5),IF(Gravel&gt;Sand,IF(Silt_Clay&lt;0.05,IF(AND(CU&gt;=4,CC&gt;=1,CC&lt;=3),IF(Sand&gt;=0.15,Q42,""),""),""),""),"")</f>
        <v/>
      </c>
      <c r="S42" s="31" t="s">
        <v>292</v>
      </c>
      <c r="T42" s="9" t="str">
        <f ca="1">IF(AND(Organic="",Silt_Clay&gt;=0.5,Liquid_Limit&lt;0.5),IF(AND(Plasticity_Index&gt;0.07,Plasticity_Index&gt;=0.73*(Liquid_Limit-0.2)),IF(Silt_Clay&gt;0.7,IF(AND(Silt_Clay&lt;=0.85,Silt_Clay&gt;0.7),IF(Gravel&lt;=Sand,Q42,""),""),""),""),"")</f>
        <v/>
      </c>
      <c r="U42" s="31" t="s">
        <v>293</v>
      </c>
      <c r="V42" s="9" t="str">
        <f ca="1">IF(Organic="x",IF(Liquid_Limit&lt;0.5,IF(AND(Plasticity_Index&gt;=0.04,Plasticity_Index&gt;=0.73*(Liquid_Limit-0.2)),IF(Silt_Clay&gt;0.7,IF(AND(Silt_Clay&lt;=0.85,Silt_Clay&gt;0.7),IF(Sand&gt;=Gravel,Q42,""),""),""),""),""),"")</f>
        <v/>
      </c>
      <c r="W42" s="31" t="s">
        <v>294</v>
      </c>
      <c r="X42" s="9"/>
      <c r="Y42" s="1"/>
      <c r="AH42" s="290">
        <f t="shared" si="30"/>
        <v>0.85</v>
      </c>
      <c r="AI42" s="295">
        <f t="shared" si="29"/>
        <v>0</v>
      </c>
      <c r="AJ42" s="295">
        <f t="shared" si="29"/>
        <v>1</v>
      </c>
      <c r="AL42" s="33"/>
    </row>
    <row r="43" spans="1:38">
      <c r="A43" s="17" t="s">
        <v>74</v>
      </c>
      <c r="B43" s="46">
        <v>0.3</v>
      </c>
      <c r="C43" s="308"/>
      <c r="D43" s="20" t="str">
        <f t="shared" si="31"/>
        <v/>
      </c>
      <c r="E43" s="20" t="str">
        <f t="shared" si="31"/>
        <v/>
      </c>
      <c r="F43" s="22">
        <f t="shared" si="32"/>
        <v>1</v>
      </c>
      <c r="G43" s="23" t="str">
        <f t="shared" si="33"/>
        <v/>
      </c>
      <c r="H43" s="23" t="str">
        <f t="shared" si="34"/>
        <v/>
      </c>
      <c r="I43" s="1"/>
      <c r="M43" s="33"/>
      <c r="N43" s="33"/>
      <c r="O43" s="32"/>
      <c r="P43" s="32"/>
      <c r="Q43" s="9">
        <v>3</v>
      </c>
      <c r="R43" s="9" t="str">
        <f ca="1">IF(AND(Organic="",Silt_Clay&lt;0.5),IF(Gravel&gt;Sand,IF(Silt_Clay&lt;0.05,IF(OR(CU&lt;4,CC&lt;1,CC&gt;3),IF(Sand&lt;0.15,Q43,""),""),""),""),"")</f>
        <v/>
      </c>
      <c r="S43" s="31" t="s">
        <v>295</v>
      </c>
      <c r="T43" s="9" t="str">
        <f ca="1">IF(AND(Organic="",Silt_Clay&gt;=0.5,Liquid_Limit&lt;0.5),IF(AND(Plasticity_Index&gt;0.07,Plasticity_Index&gt;=0.73*(Liquid_Limit-0.2)),IF(Silt_Clay&gt;0.7,IF(AND(Silt_Clay&lt;=0.85,Silt_Clay&gt;0.7),IF(Gravel&gt;Sand,Q43,""),""),""),""),"")</f>
        <v/>
      </c>
      <c r="U43" s="31" t="s">
        <v>296</v>
      </c>
      <c r="V43" s="9" t="str">
        <f ca="1">IF(Organic="x",IF(Liquid_Limit&lt;0.5,IF(AND(Plasticity_Index&gt;=0.04,Plasticity_Index&gt;=0.73*(Liquid_Limit-0.2)),IF(Silt_Clay&gt;0.7,IF(AND(Silt_Clay&lt;=0.85,Silt_Clay&gt;0.7),IF(Sand&lt;Gravel,Q43,""),""),""),""),""),"")</f>
        <v/>
      </c>
      <c r="W43" s="31" t="s">
        <v>297</v>
      </c>
      <c r="X43" s="9"/>
      <c r="Y43" s="1"/>
      <c r="AH43" s="290">
        <f t="shared" si="30"/>
        <v>1.18</v>
      </c>
      <c r="AI43" s="295">
        <f t="shared" si="29"/>
        <v>0</v>
      </c>
      <c r="AJ43" s="295">
        <f t="shared" si="29"/>
        <v>1</v>
      </c>
      <c r="AL43" s="33"/>
    </row>
    <row r="44" spans="1:38">
      <c r="A44" s="17" t="s">
        <v>75</v>
      </c>
      <c r="B44" s="46">
        <v>0.25</v>
      </c>
      <c r="C44" s="308"/>
      <c r="D44" s="20" t="str">
        <f t="shared" si="31"/>
        <v/>
      </c>
      <c r="E44" s="20" t="str">
        <f t="shared" si="31"/>
        <v/>
      </c>
      <c r="F44" s="22">
        <f t="shared" si="32"/>
        <v>1</v>
      </c>
      <c r="G44" s="23" t="str">
        <f t="shared" si="33"/>
        <v/>
      </c>
      <c r="H44" s="23" t="str">
        <f t="shared" si="34"/>
        <v/>
      </c>
      <c r="I44" s="1"/>
      <c r="J44" s="305" t="s">
        <v>232</v>
      </c>
      <c r="K44" s="423" t="e">
        <f ca="1">'Moisture Content'!D11</f>
        <v>#DIV/0!</v>
      </c>
      <c r="M44" s="8"/>
      <c r="N44" s="8"/>
      <c r="O44" s="32"/>
      <c r="P44" s="32"/>
      <c r="Q44" s="9">
        <v>4</v>
      </c>
      <c r="R44" s="9" t="str">
        <f ca="1">IF(AND(Organic="",Silt_Clay&lt;0.5),IF(Gravel&gt;Sand,IF(Silt_Clay&lt;0.05,IF(OR(CU&lt;4,CC&lt;1,CC&gt;3),IF(Sand&gt;=0.15,Q44,""),""),""),""),"")</f>
        <v/>
      </c>
      <c r="S44" s="31" t="s">
        <v>298</v>
      </c>
      <c r="T44" s="9" t="str">
        <f ca="1">IF(AND(Organic="",Silt_Clay&gt;=0.5,Liquid_Limit&lt;0.5),IF(AND(Plasticity_Index&gt;0.07,Plasticity_Index&gt;=0.73*(Liquid_Limit-0.2)),IF(Silt_Clay&lt;=0.7,IF(Sand&gt;=Gravel,IF(Gravel&lt;0.15,Q44,""),""),""),""),"")</f>
        <v/>
      </c>
      <c r="U44" s="31" t="s">
        <v>299</v>
      </c>
      <c r="V44" s="9" t="str">
        <f ca="1">IF(Organic="x",IF(Liquid_Limit&lt;0.5,IF(AND(Plasticity_Index&gt;=0.04,Plasticity_Index&gt;=0.73*(Liquid_Limit-0.2)),IF(Silt_Clay&lt;=0.7,IF(Sand&gt;=Gravel,IF(Gravel&lt;0.15,Q44,""),""),""),""),""),"")</f>
        <v/>
      </c>
      <c r="W44" s="31" t="s">
        <v>300</v>
      </c>
      <c r="X44" s="9"/>
      <c r="Y44" s="1"/>
      <c r="AH44" s="290">
        <f t="shared" si="30"/>
        <v>2</v>
      </c>
      <c r="AI44" s="295">
        <f t="shared" si="29"/>
        <v>0</v>
      </c>
      <c r="AJ44" s="295">
        <f t="shared" si="29"/>
        <v>1</v>
      </c>
      <c r="AL44" s="8"/>
    </row>
    <row r="45" spans="1:38">
      <c r="A45" s="17" t="s">
        <v>76</v>
      </c>
      <c r="B45" s="46">
        <v>0.18</v>
      </c>
      <c r="C45" s="308"/>
      <c r="D45" s="20" t="str">
        <f t="shared" si="31"/>
        <v/>
      </c>
      <c r="E45" s="20" t="str">
        <f t="shared" si="31"/>
        <v/>
      </c>
      <c r="F45" s="22">
        <f t="shared" si="32"/>
        <v>1</v>
      </c>
      <c r="G45" s="23" t="str">
        <f t="shared" si="33"/>
        <v/>
      </c>
      <c r="H45" s="23" t="str">
        <f t="shared" si="34"/>
        <v/>
      </c>
      <c r="I45" s="1"/>
      <c r="M45" s="38"/>
      <c r="N45" s="38"/>
      <c r="O45" s="1"/>
      <c r="P45" s="1"/>
      <c r="Q45" s="9">
        <v>5</v>
      </c>
      <c r="R45" s="9" t="str">
        <f ca="1">IF(AND(Organic="",Silt_Clay&lt;0.5),IF(Gravel&gt;Sand,IF(AND(Silt_Clay&gt;=0.05,Silt_Clay&lt;=0.12),IF(AND(CU&gt;=4,CC&gt;=1,CC&lt;=3),IF(AND(OR(Silt="x",Silt=""),Clay=""),IF(Sand&lt;0.15,Q45,""),""),""),""),""),"")</f>
        <v/>
      </c>
      <c r="S45" s="31" t="s">
        <v>301</v>
      </c>
      <c r="T45" s="9" t="str">
        <f ca="1">IF(AND(Organic="",Silt_Clay&gt;=0.5,Liquid_Limit&lt;0.5),IF(AND(Plasticity_Index&gt;0.07,Plasticity_Index&gt;=0.73*(Liquid_Limit-0.2)),IF(Silt_Clay&lt;=0.7,IF(Sand&gt;=Gravel,IF(Gravel&gt;=0.15,Q45,""),""),""),""),"")</f>
        <v/>
      </c>
      <c r="U45" s="31" t="s">
        <v>302</v>
      </c>
      <c r="V45" s="9" t="str">
        <f ca="1">IF(Organic="x",IF(Liquid_Limit&lt;0.5,IF(AND(Plasticity_Index&gt;=0.04,Plasticity_Index&gt;=0.73*(Liquid_Limit-0.2)),IF(Silt_Clay&lt;=0.7,IF(Sand&gt;=Gravel,IF(Gravel&gt;=0.15,Q45,""),""),""),""),""),"")</f>
        <v/>
      </c>
      <c r="W45" s="31" t="s">
        <v>303</v>
      </c>
      <c r="X45" s="9"/>
      <c r="Y45" s="1"/>
      <c r="AH45" s="290">
        <f t="shared" si="30"/>
        <v>2.36</v>
      </c>
      <c r="AI45" s="295">
        <f t="shared" si="29"/>
        <v>0</v>
      </c>
      <c r="AJ45" s="295">
        <f t="shared" si="29"/>
        <v>1</v>
      </c>
      <c r="AL45" s="38"/>
    </row>
    <row r="46" spans="1:38">
      <c r="A46" s="17" t="s">
        <v>77</v>
      </c>
      <c r="B46" s="46">
        <v>0.15</v>
      </c>
      <c r="C46" s="308"/>
      <c r="D46" s="20" t="str">
        <f t="shared" si="31"/>
        <v/>
      </c>
      <c r="E46" s="20" t="str">
        <f t="shared" si="31"/>
        <v/>
      </c>
      <c r="F46" s="22">
        <f t="shared" si="32"/>
        <v>1</v>
      </c>
      <c r="G46" s="23" t="str">
        <f t="shared" si="33"/>
        <v/>
      </c>
      <c r="H46" s="23" t="str">
        <f t="shared" si="34"/>
        <v/>
      </c>
      <c r="I46" s="1"/>
      <c r="M46" s="38"/>
      <c r="N46" s="38"/>
      <c r="O46" s="1"/>
      <c r="P46" s="1"/>
      <c r="Q46" s="9">
        <v>6</v>
      </c>
      <c r="R46" s="9" t="str">
        <f ca="1">IF(AND(Organic="",Silt_Clay&lt;0.5),IF(Gravel&gt;Sand,IF(AND(Silt_Clay&gt;=0.05,Silt_Clay&lt;=0.12),IF(AND(CU&gt;=4,CC&gt;=1,CC&lt;=3),IF(OR(Silt="x",Plasticity_Index="Non-Plastic",Plasticity_Index=0,Plasticity_Index="n/a"),IF(Sand&gt;=0.15,Q46,""),""),""),""),""),"")</f>
        <v/>
      </c>
      <c r="S46" s="31" t="s">
        <v>304</v>
      </c>
      <c r="T46" s="9" t="str">
        <f ca="1">IF(AND(Organic="",Silt_Clay&gt;=0.5,Liquid_Limit&lt;0.5),IF(AND(Plasticity_Index&gt;0.07,Plasticity_Index&gt;=0.73*(Liquid_Limit-0.2)),IF(Silt_Clay&lt;=0.7,IF(Sand&lt;Gravel,IF(Sand&lt;0.15,Q46,""),""),""),""),"")</f>
        <v/>
      </c>
      <c r="U46" s="31" t="s">
        <v>305</v>
      </c>
      <c r="V46" s="9" t="str">
        <f ca="1">IF(Organic="x",IF(Liquid_Limit&lt;0.5,IF(AND(Plasticity_Index&gt;=0.04,Plasticity_Index&gt;=0.73*(Liquid_Limit-0.2)),IF(Silt_Clay&lt;=0.7,IF(Sand&lt;Gravel,IF(Sand&lt;0.15,Q46,""),""),""),""),""),"")</f>
        <v/>
      </c>
      <c r="W46" s="31" t="s">
        <v>306</v>
      </c>
      <c r="X46" s="9"/>
      <c r="Y46" s="1"/>
      <c r="AH46" s="290">
        <f t="shared" si="30"/>
        <v>4.75</v>
      </c>
      <c r="AI46" s="295">
        <f t="shared" si="29"/>
        <v>0</v>
      </c>
      <c r="AJ46" s="295">
        <f t="shared" si="29"/>
        <v>1</v>
      </c>
      <c r="AL46" s="38"/>
    </row>
    <row r="47" spans="1:38">
      <c r="A47" s="17" t="s">
        <v>85</v>
      </c>
      <c r="B47" s="46">
        <v>0.106</v>
      </c>
      <c r="C47" s="308"/>
      <c r="D47" s="20" t="str">
        <f t="shared" si="31"/>
        <v/>
      </c>
      <c r="E47" s="20" t="str">
        <f t="shared" si="31"/>
        <v/>
      </c>
      <c r="F47" s="22">
        <f t="shared" si="32"/>
        <v>1</v>
      </c>
      <c r="G47" s="23" t="str">
        <f t="shared" si="33"/>
        <v/>
      </c>
      <c r="H47" s="23" t="str">
        <f t="shared" si="34"/>
        <v/>
      </c>
      <c r="I47" s="1"/>
      <c r="M47" s="38"/>
      <c r="N47" s="38"/>
      <c r="O47" s="1"/>
      <c r="P47" s="1"/>
      <c r="Q47" s="9">
        <v>7</v>
      </c>
      <c r="R47" s="9" t="str">
        <f ca="1">IF(AND(Organic="",Silt_Clay&lt;0.5),IF(Gravel&gt;Sand,IF(AND(Silt_Clay&gt;=0.05,Silt_Clay&lt;=0.12),IF(AND(CU&gt;=4,CC&gt;=1,CC&lt;=3),IF(OR(Silt="",Clay="x"),IF(Sand&lt;0.15,Q47,""),""),""),""),""),"")</f>
        <v/>
      </c>
      <c r="S47" s="31" t="s">
        <v>307</v>
      </c>
      <c r="T47" s="9" t="str">
        <f ca="1">IF(AND(Organic="",Silt_Clay&gt;=0.5,Liquid_Limit&lt;0.5),IF(AND(Plasticity_Index&gt;0.07,Plasticity_Index&gt;=0.73*(Liquid_Limit-0.2)),IF(Silt_Clay&lt;=0.7,IF(Sand&lt;Gravel,IF(Sand&gt;=0.15,Q47,""),""),""),""),"")</f>
        <v/>
      </c>
      <c r="U47" s="31" t="s">
        <v>308</v>
      </c>
      <c r="V47" s="9" t="str">
        <f ca="1">IF(Organic="x",IF(Liquid_Limit&lt;0.5,IF(AND(Plasticity_Index&gt;=0.04,Plasticity_Index&gt;=0.73*(Liquid_Limit-0.2)),IF(Silt_Clay&lt;=0.7,IF(Sand&lt;Gravel,IF(Sand&gt;=0.15,Q47,""),""),""),""),""),"")</f>
        <v/>
      </c>
      <c r="W47" s="31" t="s">
        <v>309</v>
      </c>
      <c r="X47" s="9"/>
      <c r="Y47" s="1"/>
      <c r="AH47" s="290">
        <f t="shared" si="30"/>
        <v>6.3</v>
      </c>
      <c r="AI47" s="295">
        <f t="shared" si="29"/>
        <v>0</v>
      </c>
      <c r="AJ47" s="295">
        <f t="shared" si="29"/>
        <v>1</v>
      </c>
      <c r="AL47" s="38"/>
    </row>
    <row r="48" spans="1:38">
      <c r="A48" s="17" t="s">
        <v>86</v>
      </c>
      <c r="B48" s="46">
        <v>0.09</v>
      </c>
      <c r="C48" s="308"/>
      <c r="D48" s="20" t="str">
        <f t="shared" si="31"/>
        <v/>
      </c>
      <c r="E48" s="20" t="str">
        <f t="shared" si="31"/>
        <v/>
      </c>
      <c r="F48" s="22">
        <f t="shared" si="32"/>
        <v>1</v>
      </c>
      <c r="G48" s="23" t="str">
        <f t="shared" si="33"/>
        <v/>
      </c>
      <c r="H48" s="23" t="str">
        <f t="shared" si="34"/>
        <v/>
      </c>
      <c r="I48" s="1"/>
      <c r="J48" s="8"/>
      <c r="K48" s="38"/>
      <c r="L48" s="38"/>
      <c r="M48" s="32"/>
      <c r="N48" s="32"/>
      <c r="O48" s="1"/>
      <c r="P48" s="1"/>
      <c r="Q48" s="9">
        <v>8</v>
      </c>
      <c r="R48" s="9" t="str">
        <f ca="1">IF(AND(Organic="",Silt_Clay&lt;0.5),IF(Gravel&gt;Sand,IF(AND(Silt_Clay&gt;=0.05,Silt_Clay&lt;=0.12),IF(AND(CU&gt;=4,CC&gt;=1,CC&lt;=3),IF(OR(Silt="",Clay="x"),IF(Sand&gt;=0.15,Q48,""),""),""),""),""),"")</f>
        <v/>
      </c>
      <c r="S48" s="31" t="s">
        <v>310</v>
      </c>
      <c r="T48" s="9" t="str">
        <f ca="1">IF(AND(Organic="",Silt_Clay&gt;=0.5,Liquid_Limit&lt;0.5),IF(AND(AND(Plasticity_Index&gt;=0.04,Plasticity_Index&lt;=0.07),Plasticity_Index&gt;=0.73*(Liquid_Limit-0.2)),IF(Silt_Clay&gt;=0.7,IF(Silt_Clay&gt;0.85,Q48,""),""),""),"")</f>
        <v/>
      </c>
      <c r="U48" s="31" t="s">
        <v>311</v>
      </c>
      <c r="V48" s="9" t="str">
        <f ca="1">IF(Organic="x",IF(Liquid_Limit&lt;0.5,IF(OR(Plasticity_Index&lt;0.04,Plasticity_Index&lt;0.73*(Liquid_Limit-0.2)),IF(Silt_Clay&gt;0.7,IF(Silt_Clay&gt;0.85,Q48,""),""),""),""),"")</f>
        <v/>
      </c>
      <c r="W48" s="31" t="s">
        <v>312</v>
      </c>
      <c r="X48" s="9"/>
      <c r="Y48" s="1"/>
      <c r="AH48" s="290">
        <f t="shared" si="30"/>
        <v>9.5</v>
      </c>
      <c r="AI48" s="295">
        <f t="shared" si="29"/>
        <v>0</v>
      </c>
      <c r="AJ48" s="295">
        <f t="shared" si="29"/>
        <v>1</v>
      </c>
      <c r="AL48" s="32"/>
    </row>
    <row r="49" spans="1:38">
      <c r="A49" s="17" t="s">
        <v>78</v>
      </c>
      <c r="B49" s="46">
        <v>7.4999999999999997E-2</v>
      </c>
      <c r="C49" s="308"/>
      <c r="D49" s="20" t="str">
        <f t="shared" si="31"/>
        <v/>
      </c>
      <c r="E49" s="20" t="str">
        <f t="shared" si="31"/>
        <v/>
      </c>
      <c r="F49" s="22">
        <f t="shared" si="32"/>
        <v>1</v>
      </c>
      <c r="G49" s="23" t="str">
        <f t="shared" si="33"/>
        <v/>
      </c>
      <c r="H49" s="23" t="str">
        <f t="shared" si="34"/>
        <v/>
      </c>
      <c r="I49" s="1"/>
      <c r="L49" s="38"/>
      <c r="M49" s="32"/>
      <c r="N49" s="32"/>
      <c r="O49" s="1"/>
      <c r="P49" s="1"/>
      <c r="Q49" s="9">
        <v>9</v>
      </c>
      <c r="R49" s="9" t="str">
        <f ca="1">IF(AND(Organic="",Silt_Clay&lt;0.5),IF(Gravel&gt;Sand,IF(AND(Silt_Clay&gt;=0.05,Silt_Clay&lt;=0.12),IF(OR(CU&lt;4,CC&lt;1,CC&gt;3),IF(AND(Silt="x",Clay=""),IF(Sand&lt;0.15,Q49,""),""),""),""),""),"")</f>
        <v/>
      </c>
      <c r="S49" s="31" t="s">
        <v>313</v>
      </c>
      <c r="T49" s="9" t="str">
        <f ca="1">IF(AND(Organic="",Silt_Clay&gt;=0.5,Liquid_Limit&lt;0.5),IF(AND(AND(Plasticity_Index&gt;=0.04,Plasticity_Index&lt;=0.07),Plasticity_Index&gt;=0.73*(Liquid_Limit-0.2)),IF(Silt_Clay&gt;=0.7,IF(AND(Silt_Clay&lt;=0.85,Silt_Clay&gt;=0.7),IF(Sand&gt;=Gravel,Q49,""),""),""),""),"")</f>
        <v/>
      </c>
      <c r="U49" s="31" t="s">
        <v>314</v>
      </c>
      <c r="V49" s="9" t="str">
        <f ca="1">IF(Organic="x",IF(Liquid_Limit&lt;0.5,IF(OR(Plasticity_Index&lt;0.04,Plasticity_Index&lt;0.73*(Liquid_Limit-0.2)),IF(Silt_Clay&gt;0.7,IF(AND(Silt_Clay&lt;=0.85,Silt_Clay&gt;0.7),IF(Sand&gt;=Gravel,Q49,""),""),""),""),""),"")</f>
        <v/>
      </c>
      <c r="W49" s="31" t="s">
        <v>315</v>
      </c>
      <c r="X49" s="9"/>
      <c r="Y49" s="1"/>
      <c r="AH49" s="290">
        <f t="shared" si="30"/>
        <v>12.5</v>
      </c>
      <c r="AI49" s="295">
        <f t="shared" si="29"/>
        <v>0</v>
      </c>
      <c r="AJ49" s="295">
        <f t="shared" si="29"/>
        <v>1</v>
      </c>
      <c r="AL49" s="32"/>
    </row>
    <row r="50" spans="1:38">
      <c r="A50" s="19" t="s">
        <v>79</v>
      </c>
      <c r="B50" s="19"/>
      <c r="C50" s="308"/>
      <c r="D50" s="7"/>
      <c r="E50" s="30"/>
      <c r="F50" s="30"/>
      <c r="G50" s="30"/>
      <c r="H50" s="30"/>
      <c r="I50" s="1"/>
      <c r="L50" s="38"/>
      <c r="M50" s="1"/>
      <c r="N50" s="1"/>
      <c r="O50" s="1"/>
      <c r="P50" s="1"/>
      <c r="Q50" s="9">
        <v>10</v>
      </c>
      <c r="R50" s="9" t="str">
        <f ca="1">IF(AND(Organic="",Silt_Clay&lt;0.5),IF(Gravel&gt;Sand,IF(AND(Silt_Clay&gt;=0.05,Silt_Clay&lt;=0.12),IF(OR(CU&lt;4,CC&lt;1,CC&gt;3),IF(AND(OR(Silt="x",Silt=""),Clay=""),IF(Sand&gt;=0.15,Q50,""),""),""),""),""),"")</f>
        <v/>
      </c>
      <c r="S50" s="31" t="s">
        <v>316</v>
      </c>
      <c r="T50" s="9" t="str">
        <f ca="1">IF(AND(Organic="",Silt_Clay&gt;=0.5,Liquid_Limit&lt;0.5),IF(AND(AND(Plasticity_Index&gt;=0.04,Plasticity_Index&lt;=0.07),Plasticity_Index&gt;=0.73*(Liquid_Limit-0.2)),IF(Silt_Clay&gt;=0.7,IF(AND(Silt_Clay&lt;=0.85,Silt_Clay&gt;=0.7),IF(Sand&lt;Gravel,Q50,""),""),""),""),"")</f>
        <v/>
      </c>
      <c r="U50" s="31" t="s">
        <v>317</v>
      </c>
      <c r="V50" s="9" t="str">
        <f ca="1">IF(Organic="x",IF(Liquid_Limit&lt;0.5,IF(OR(Plasticity_Index&lt;0.04,Plasticity_Index&lt;0.73*(Liquid_Limit-0.2)),IF(Silt_Clay&gt;0.7,IF(AND(Silt_Clay&lt;=0.85,Silt_Clay&gt;0.7),IF(Sand&lt;Gravel,Q50,""),""),""),""),""),"")</f>
        <v/>
      </c>
      <c r="W50" s="31" t="s">
        <v>318</v>
      </c>
      <c r="X50" s="9"/>
      <c r="Y50" s="1"/>
      <c r="AH50" s="290">
        <f t="shared" si="30"/>
        <v>16</v>
      </c>
      <c r="AI50" s="295">
        <f t="shared" si="29"/>
        <v>0</v>
      </c>
      <c r="AJ50" s="295">
        <f t="shared" si="29"/>
        <v>1</v>
      </c>
      <c r="AL50" s="1"/>
    </row>
    <row r="51" spans="1:38">
      <c r="A51" s="31"/>
      <c r="B51" s="31"/>
      <c r="C51" s="43"/>
      <c r="D51" s="39"/>
      <c r="E51" s="1"/>
      <c r="F51" s="1"/>
      <c r="G51" s="1"/>
      <c r="H51" s="1"/>
      <c r="I51" s="1"/>
      <c r="J51" s="1"/>
      <c r="K51" s="1"/>
      <c r="L51" s="32"/>
      <c r="M51" s="1"/>
      <c r="N51" s="1"/>
      <c r="O51" s="1"/>
      <c r="P51" s="1"/>
      <c r="Q51" s="9">
        <v>11</v>
      </c>
      <c r="R51" s="9" t="str">
        <f ca="1">IF(AND(Organic="",Silt_Clay&lt;0.5),IF(Gravel&gt;Sand,IF(AND(Silt_Clay&gt;=0.05,Silt_Clay&lt;=0.12),IF(OR(CU&lt;4,CC&lt;1,CC&gt;3),IF(AND(Silt="x",Clay="x"),IF(Sand&lt;0.15,Q51,""),""),""),""),""),"")</f>
        <v/>
      </c>
      <c r="S51" s="31" t="s">
        <v>319</v>
      </c>
      <c r="T51" s="9" t="str">
        <f ca="1">IF(AND(Organic="",Silt_Clay&gt;=0.5,Liquid_Limit&lt;0.5),IF(AND(AND(Plasticity_Index&gt;=0.04,Plasticity_Index&lt;=0.07),Plasticity_Index&gt;=0.73*(Liquid_Limit-0.2)),IF(Silt_Clay&lt;0.7,IF(Sand&gt;=Gravel,IF(Gravel&lt;0.15,Q51,""),""),""),""),"")</f>
        <v/>
      </c>
      <c r="U51" s="31" t="s">
        <v>320</v>
      </c>
      <c r="V51" s="9" t="str">
        <f ca="1">IF(Organic="x",IF(Liquid_Limit&lt;0.5,IF(OR(Plasticity_Index&lt;0.04,Plasticity_Index&lt;0.73*(Liquid_Limit-0.2)),IF(Silt_Clay&lt;=0.7,IF(Sand&gt;=Gravel,IF(Gravel&lt;0.15,Q51,""),""),""),""),""),"")</f>
        <v/>
      </c>
      <c r="W51" s="31" t="s">
        <v>321</v>
      </c>
      <c r="X51" s="9"/>
      <c r="Y51" s="1"/>
      <c r="AH51" s="290">
        <f t="shared" si="30"/>
        <v>19</v>
      </c>
      <c r="AI51" s="295">
        <f t="shared" si="29"/>
        <v>0</v>
      </c>
      <c r="AJ51" s="295">
        <f t="shared" si="29"/>
        <v>1</v>
      </c>
      <c r="AL51" s="1"/>
    </row>
    <row r="52" spans="1:38">
      <c r="I52" s="1"/>
      <c r="J52" s="1"/>
      <c r="K52" s="1"/>
      <c r="L52" s="32"/>
      <c r="M52" s="1"/>
      <c r="N52" s="1"/>
      <c r="O52" s="1"/>
      <c r="P52" s="1"/>
      <c r="Q52" s="9">
        <v>12</v>
      </c>
      <c r="R52" s="9" t="str">
        <f ca="1">IF(AND(Organic="",Silt_Clay&lt;0.5),IF(Gravel&gt;Sand,IF(AND(Silt_Clay&gt;=0.05,Silt_Clay&lt;=0.12),IF(OR(CU&lt;4,CC&lt;1,CC&gt;3),IF(AND(OR(Silt="x",Silt=""),Clay="x"),IF(Sand&gt;=0.15,Q52,""),""),""),""),""),"")</f>
        <v/>
      </c>
      <c r="S52" s="31" t="s">
        <v>322</v>
      </c>
      <c r="T52" s="9" t="str">
        <f ca="1">IF(AND(Organic="",Silt_Clay&gt;=0.5,Liquid_Limit&lt;0.5),IF(AND(AND(Plasticity_Index&gt;=0.04,Plasticity_Index&lt;=0.07),Plasticity_Index&gt;=0.73*(Liquid_Limit-0.2)),IF(Silt_Clay&lt;0.7,IF(Sand&gt;=Gravel,IF(Gravel&gt;=0.15,Q52,""),""),""),""),"")</f>
        <v/>
      </c>
      <c r="U52" s="31" t="s">
        <v>323</v>
      </c>
      <c r="V52" s="9" t="str">
        <f ca="1">IF(Organic="x",IF(Liquid_Limit&lt;0.5,IF(OR(Plasticity_Index&lt;0.04,Plasticity_Index&lt;0.73*(Liquid_Limit-0.2)),IF(Silt_Clay&lt;=0.7,IF(Sand&gt;=Gravel,IF(Gravel&gt;=0.15,Q52,""),""),""),""),""),"")</f>
        <v/>
      </c>
      <c r="W52" s="31" t="s">
        <v>324</v>
      </c>
      <c r="X52" s="9"/>
      <c r="Y52" s="1"/>
      <c r="AH52" s="290">
        <f t="shared" si="30"/>
        <v>22.4</v>
      </c>
      <c r="AI52" s="295">
        <f t="shared" si="29"/>
        <v>0</v>
      </c>
      <c r="AJ52" s="295">
        <f t="shared" si="29"/>
        <v>1</v>
      </c>
      <c r="AL52" s="1"/>
    </row>
    <row r="53" spans="1:38">
      <c r="D53" s="339"/>
      <c r="I53" s="1"/>
      <c r="J53" s="1"/>
      <c r="K53" s="1"/>
      <c r="L53" s="1"/>
      <c r="M53" s="1"/>
      <c r="N53" s="1"/>
      <c r="O53" s="1"/>
      <c r="P53" s="1"/>
      <c r="Q53" s="9">
        <v>13</v>
      </c>
      <c r="R53" s="9" t="str">
        <f ca="1">IF(AND(Organic="",Silt_Clay&lt;0.5),IF(Gravel&gt;Sand,IF(Silt_Clay&gt;0.12,IF(OR(Silt="x",Plasticity_Index="Non-Plastic"),IF(Sand&lt;0.15,Q53,""),""),""),""),"")</f>
        <v/>
      </c>
      <c r="S53" s="31" t="s">
        <v>325</v>
      </c>
      <c r="T53" s="9" t="str">
        <f ca="1">IF(AND(Organic="",Silt_Clay&gt;=0.5,Liquid_Limit&lt;0.5),IF(AND(AND(Plasticity_Index&gt;=0.04,Plasticity_Index&lt;=0.07),Plasticity_Index&gt;=0.73*(Liquid_Limit-0.2)),IF(Silt_Clay&lt;0.7,IF(Sand&lt;Gravel,IF(Sand&lt;0.15,Q53,""),""),""),""),"")</f>
        <v/>
      </c>
      <c r="U53" s="31" t="s">
        <v>326</v>
      </c>
      <c r="V53" s="9" t="str">
        <f ca="1">IF(Organic="x",IF(Liquid_Limit&lt;0.5,IF(OR(Plasticity_Index&lt;0.04,Plasticity_Index&lt;0.73*(Liquid_Limit-0.2)),IF(Silt_Clay&lt;=0.7,IF(Sand&lt;Gravel,IF(Sand&lt;0.15,Q53,""),""),""),""),""),"")</f>
        <v/>
      </c>
      <c r="W53" s="31" t="s">
        <v>327</v>
      </c>
      <c r="X53" s="9"/>
      <c r="Y53" s="1"/>
      <c r="AH53" s="290">
        <f t="shared" si="30"/>
        <v>25</v>
      </c>
      <c r="AI53" s="295">
        <f t="shared" si="29"/>
        <v>0</v>
      </c>
      <c r="AJ53" s="295">
        <f t="shared" si="29"/>
        <v>1</v>
      </c>
      <c r="AL53" s="1"/>
    </row>
    <row r="54" spans="1:38">
      <c r="I54" s="1"/>
      <c r="J54" s="1"/>
      <c r="K54" s="1"/>
      <c r="L54" s="1"/>
      <c r="M54" s="1"/>
      <c r="N54" s="1"/>
      <c r="O54" s="1"/>
      <c r="P54" s="1"/>
      <c r="Q54" s="9">
        <v>14</v>
      </c>
      <c r="R54" s="9" t="str">
        <f ca="1">IF(AND(Organic="",Silt_Clay&lt;0.5),IF(Gravel&gt;Sand,IF(Silt_Clay&gt;0.12,IF(AND(OR(Silt="x",Silt=""),Clay=""),IF(Sand&gt;=0.15,Q54,""),""),""),""),"")</f>
        <v/>
      </c>
      <c r="S54" s="31" t="s">
        <v>328</v>
      </c>
      <c r="T54" s="9" t="str">
        <f ca="1">IF(AND(Organic="",Silt_Clay&gt;=0.5,Liquid_Limit&lt;0.5),IF(AND(AND(Plasticity_Index&gt;=0.04,Plasticity_Index&lt;=0.07),Plasticity_Index&gt;=0.73*(Liquid_Limit-0.2)),IF(Silt_Clay&lt;0.7,IF(Sand&lt;Gravel,IF(Sand&gt;=0.15,Q54,""),""),""),""),"")</f>
        <v/>
      </c>
      <c r="U54" s="31" t="s">
        <v>329</v>
      </c>
      <c r="V54" s="9" t="str">
        <f ca="1">IF(Organic="x",IF(Liquid_Limit&lt;0.5,IF(OR(Plasticity_Index&lt;0.04,Plasticity_Index&lt;0.73*(Liquid_Limit-0.2)),IF(Silt_Clay&lt;=0.7,IF(Sand&lt;Gravel,IF(Sand&gt;=0.15,Q54,""),""),""),""),""),"")</f>
        <v/>
      </c>
      <c r="W54" s="31" t="s">
        <v>330</v>
      </c>
      <c r="X54" s="9"/>
      <c r="Y54" s="1"/>
      <c r="AH54" s="290">
        <f t="shared" si="30"/>
        <v>31.5</v>
      </c>
      <c r="AI54" s="295">
        <f t="shared" si="29"/>
        <v>0</v>
      </c>
      <c r="AJ54" s="295">
        <f t="shared" si="29"/>
        <v>1</v>
      </c>
      <c r="AL54" s="1"/>
    </row>
    <row r="55" spans="1:38">
      <c r="I55" s="1"/>
      <c r="J55" s="1"/>
      <c r="K55" s="1"/>
      <c r="L55" s="1"/>
      <c r="M55" s="1"/>
      <c r="N55" s="1"/>
      <c r="O55" s="1"/>
      <c r="P55" s="1"/>
      <c r="Q55" s="9">
        <v>15</v>
      </c>
      <c r="R55" s="9" t="str">
        <f ca="1">IF(AND(Organic="",Silt_Clay&lt;0.5),IF(Gravel&gt;Sand,IF(Silt_Clay&gt;0.12,IF(OR(Silt="",Clay="x"),IF(Sand&lt;0.15,Q55,""),""),""),""),"")</f>
        <v/>
      </c>
      <c r="S55" s="31" t="s">
        <v>331</v>
      </c>
      <c r="T55" s="9">
        <f ca="1">IF(AND(Organic="",Silt_Clay&gt;=0.5,Liquid_Limit&lt;0.5),IF(OR(Plasticity_Index&lt;0.04,Plasticity_Index&lt;0.73*(Liquid_Limit-0.2)),IF(Silt_Clay&gt;0.7,IF(Silt_Clay&gt;0.85,Q55,""),""),""),"")</f>
        <v>15</v>
      </c>
      <c r="U55" s="31" t="s">
        <v>332</v>
      </c>
      <c r="V55" s="9" t="str">
        <f ca="1">IF(Organic="x",IF(Liquid_Limit&gt;=0.5,IF(AND(Plasticity_Index&gt;=0.04,Plasticity_Index&gt;=0.73*(Liquid_Limit-0.2)),IF(Silt_Clay&gt;0.7,IF(Silt_Clay&gt;0.85,Q55,""),""),""),""),"")</f>
        <v/>
      </c>
      <c r="W55" s="31" t="s">
        <v>333</v>
      </c>
      <c r="X55" s="9"/>
      <c r="Y55" s="1"/>
      <c r="AH55" s="290">
        <f t="shared" si="30"/>
        <v>37.5</v>
      </c>
      <c r="AI55" s="295">
        <f t="shared" si="29"/>
        <v>0</v>
      </c>
      <c r="AJ55" s="295">
        <f t="shared" si="29"/>
        <v>1</v>
      </c>
      <c r="AL55" s="1"/>
    </row>
    <row r="56" spans="1:38">
      <c r="I56" s="1"/>
      <c r="J56" s="1"/>
      <c r="K56" s="1"/>
      <c r="L56" s="1"/>
      <c r="M56" s="1"/>
      <c r="N56" s="1"/>
      <c r="O56" s="1"/>
      <c r="P56" s="1"/>
      <c r="Q56" s="9">
        <v>16</v>
      </c>
      <c r="R56" s="9" t="str">
        <f ca="1">IF(AND(Organic="",Silt_Clay&lt;0.5),IF(Gravel&gt;Sand,IF(Silt_Clay&gt;0.12,IF(AND(Silt="",Clay="x"),IF(Sand&gt;=0.15,Q56,""),""),""),""),"")</f>
        <v/>
      </c>
      <c r="S56" s="31" t="s">
        <v>334</v>
      </c>
      <c r="T56" s="9" t="str">
        <f ca="1">IF(AND(Organic="",Silt_Clay&gt;=0.5,Liquid_Limit&lt;0.5),IF(OR(Plasticity_Index&lt;0.04,Plasticity_Index&lt;0.73*(Liquid_Limit-0.2)),IF(Silt_Clay&gt;0.7,IF(AND(Silt_Clay&gt;0.7,Silt_Clay&lt;=0.85),IF(Sand&gt;=Gravel,Q56,""),""),""),""),"")</f>
        <v/>
      </c>
      <c r="U56" s="31" t="s">
        <v>335</v>
      </c>
      <c r="V56" s="9" t="str">
        <f ca="1">IF(Organic="x",IF(Liquid_Limit&gt;=0.5,IF(AND(Plasticity_Index&gt;=0.04,Plasticity_Index&gt;=0.73*(Liquid_Limit-0.2)),IF(Silt_Clay&gt;0.7,IF(AND(Silt_Clay&lt;=0.85,Silt_Clay&gt;0.7),IF(Sand&gt;=Gravel,Q56,""),""),""),""),""),"")</f>
        <v/>
      </c>
      <c r="W56" s="31" t="s">
        <v>336</v>
      </c>
      <c r="X56" s="9"/>
      <c r="Y56" s="1"/>
      <c r="AH56" s="290">
        <f t="shared" si="30"/>
        <v>45</v>
      </c>
      <c r="AI56" s="295">
        <f t="shared" si="29"/>
        <v>0</v>
      </c>
      <c r="AJ56" s="295">
        <f t="shared" si="29"/>
        <v>1</v>
      </c>
      <c r="AL56" s="1"/>
    </row>
    <row r="57" spans="1:38">
      <c r="I57" s="1"/>
      <c r="J57" s="1"/>
      <c r="K57" s="1"/>
      <c r="L57" s="1"/>
      <c r="M57" s="1"/>
      <c r="N57" s="1"/>
      <c r="Q57" s="9">
        <v>17</v>
      </c>
      <c r="R57" s="9" t="str">
        <f ca="1">IF(AND(Organic="",Silt_Clay&lt;0.5),IF(Gravel&gt;Sand,IF(Silt_Clay&gt;0.12,IF(AND(Silt="x",Clay="x"),IF(Sand&lt;0.15,Q57,""),""),""),""),"")</f>
        <v/>
      </c>
      <c r="S57" s="31" t="s">
        <v>337</v>
      </c>
      <c r="T57" s="9" t="str">
        <f ca="1">IF(AND(Organic="",Silt_Clay&gt;=0.5,Liquid_Limit&lt;0.5),IF(OR(Plasticity_Index&lt;0.04,Plasticity_Index&lt;0.73*(Liquid_Limit-0.2)),IF(Silt_Clay&gt;0.7,IF(AND(Silt_Clay&gt;0.7,Silt_Clay&lt;=0.85),IF(Sand&lt;Gravel,Q57,""),""),""),""),"")</f>
        <v/>
      </c>
      <c r="U57" s="31" t="s">
        <v>338</v>
      </c>
      <c r="V57" s="9" t="str">
        <f ca="1">IF(Organic="x",IF(Liquid_Limit&gt;=0.5,IF(AND(Plasticity_Index&gt;=0.04,Plasticity_Index&gt;=0.73*(Liquid_Limit-0.2)),IF(Silt_Clay&gt;0.7,IF(AND(Silt_Clay&lt;=0.85,Silt_Clay&gt;0.7),IF(Sand&lt;Gravel,Q57,""),""),""),""),""),"")</f>
        <v/>
      </c>
      <c r="W57" s="31" t="s">
        <v>339</v>
      </c>
      <c r="X57" s="9"/>
      <c r="Y57" s="1"/>
      <c r="AH57" s="290">
        <f t="shared" si="30"/>
        <v>50</v>
      </c>
      <c r="AI57" s="295">
        <f t="shared" si="29"/>
        <v>0</v>
      </c>
      <c r="AJ57" s="295">
        <f t="shared" si="29"/>
        <v>1</v>
      </c>
      <c r="AL57" s="1"/>
    </row>
    <row r="58" spans="1:38">
      <c r="I58" s="1"/>
      <c r="J58" s="1"/>
      <c r="K58" s="1"/>
      <c r="L58" s="1"/>
      <c r="M58" s="1"/>
      <c r="N58" s="1"/>
      <c r="Q58" s="9">
        <v>18</v>
      </c>
      <c r="R58" s="9" t="str">
        <f ca="1">IF(AND(Organic="",Silt_Clay&lt;0.5),IF(Gravel&gt;Sand,IF(Silt_Clay&gt;0.12,IF(AND(Silt="x",Clay="x"),IF(Sand&gt;=0.15,Q58,""),""),""),""),"")</f>
        <v/>
      </c>
      <c r="S58" s="31" t="s">
        <v>340</v>
      </c>
      <c r="T58" s="9" t="str">
        <f ca="1">IF(AND(Organic="",Silt_Clay&gt;=0.5,Liquid_Limit&lt;0.5),IF(OR(Plasticity_Index&lt;0.04,Plasticity_Index&lt;0.73*(Liquid_Limit-0.2)),IF(Silt_Clay&lt;=0.7,IF(Sand&gt;=Gravel,IF(Gravel&lt;0.15,Q58,""),""),""),""),"")</f>
        <v/>
      </c>
      <c r="U58" s="31" t="s">
        <v>341</v>
      </c>
      <c r="V58" s="9" t="str">
        <f ca="1">IF(Organic="x",IF(Liquid_Limit&gt;=0.5,IF(AND(Plasticity_Index&gt;=0.04,Plasticity_Index&gt;=0.73*(Liquid_Limit-0.2)),IF(Silt_Clay&lt;=0.7,IF(Sand&gt;=Gravel,IF(Gravel&lt;0.15,Q58,""),""),""),""),""),"")</f>
        <v/>
      </c>
      <c r="W58" s="31" t="s">
        <v>342</v>
      </c>
      <c r="X58" s="9"/>
      <c r="Y58" s="1"/>
      <c r="AH58" s="290">
        <f t="shared" si="30"/>
        <v>63</v>
      </c>
      <c r="AI58" s="295">
        <f t="shared" si="29"/>
        <v>0</v>
      </c>
      <c r="AJ58" s="295">
        <f t="shared" si="29"/>
        <v>1</v>
      </c>
      <c r="AL58" s="1"/>
    </row>
    <row r="59" spans="1:38">
      <c r="I59" s="1"/>
      <c r="J59" s="1"/>
      <c r="K59" s="1"/>
      <c r="L59" s="1"/>
      <c r="M59" s="1"/>
      <c r="N59" s="1"/>
      <c r="Q59" s="9">
        <v>19</v>
      </c>
      <c r="R59" s="9" t="str">
        <f ca="1">IF(AND(Organic="",Silt_Clay&lt;0.5),IF(Gravel&lt;=Sand,IF(Silt_Clay&lt;0.05,IF(AND(CU&gt;=6,CC&gt;=1,CC&lt;=3),IF(Gravel&lt;0.15,Q59,""),""),""),""),"")</f>
        <v/>
      </c>
      <c r="S59" s="31" t="s">
        <v>343</v>
      </c>
      <c r="T59" s="9" t="str">
        <f ca="1">IF(AND(Organic="",Silt_Clay&gt;=0.5,Liquid_Limit&lt;0.5),IF(OR(Plasticity_Index&lt;0.04,Plasticity_Index&lt;0.73*(Liquid_Limit-0.2)),IF(Silt_Clay&lt;=0.7,IF(Sand&gt;=Gravel,IF(Gravel&gt;=0.15,Q59,""),""),""),""),"")</f>
        <v/>
      </c>
      <c r="U59" s="31" t="s">
        <v>344</v>
      </c>
      <c r="V59" s="9" t="str">
        <f ca="1">IF(Organic="x",IF(Liquid_Limit&gt;=0.5,IF(AND(Plasticity_Index&gt;=0.04,Plasticity_Index&gt;=0.73*(Liquid_Limit-0.2)),IF(Silt_Clay&lt;=0.7,IF(Sand&gt;=Gravel,IF(Gravel&gt;=0.15,Q59,""),""),""),""),""),"")</f>
        <v/>
      </c>
      <c r="W59" s="31" t="s">
        <v>345</v>
      </c>
      <c r="X59" s="9"/>
      <c r="Y59" s="1"/>
      <c r="AH59" s="290">
        <f t="shared" si="30"/>
        <v>75</v>
      </c>
      <c r="AI59" s="295">
        <f t="shared" si="29"/>
        <v>0</v>
      </c>
      <c r="AJ59" s="295">
        <f t="shared" si="29"/>
        <v>1</v>
      </c>
      <c r="AL59" s="1"/>
    </row>
    <row r="60" spans="1:38">
      <c r="I60" s="1"/>
      <c r="J60" s="1"/>
      <c r="K60" s="1"/>
      <c r="L60" s="1"/>
      <c r="M60" s="1"/>
      <c r="N60" s="1"/>
      <c r="Q60" s="9">
        <v>20</v>
      </c>
      <c r="R60" s="9" t="str">
        <f ca="1">IF(AND(Organic="",Silt_Clay&lt;0.5),IF(Gravel&lt;=Sand,IF(Silt_Clay&lt;0.05,IF(AND(CU&gt;=6,CC&gt;=1,CC&lt;=3),IF(Gravel&gt;=0.15,Q60,""),""),""),""),"")</f>
        <v/>
      </c>
      <c r="S60" s="31" t="s">
        <v>346</v>
      </c>
      <c r="T60" s="9" t="str">
        <f ca="1">IF(AND(Organic="",Silt_Clay&gt;=0.5,Liquid_Limit&lt;0.5),IF(OR(Plasticity_Index&lt;0.04,Plasticity_Index&lt;0.73*(Liquid_Limit-0.2)),IF(Silt_Clay&lt;=0.7,IF(Sand&lt;Gravel,IF(Sand&lt;0.15,Q60,""),""),""),""),"")</f>
        <v/>
      </c>
      <c r="U60" s="31" t="s">
        <v>347</v>
      </c>
      <c r="V60" s="9" t="str">
        <f ca="1">IF(Organic="x",IF(Liquid_Limit&gt;=0.5,IF(AND(Plasticity_Index&gt;=0.04,Plasticity_Index&gt;=0.73*(Liquid_Limit-0.2)),IF(Silt_Clay&lt;=0.7,IF(Sand&lt;Gravel,IF(Sand&lt;0.15,Q60,""),""),""),""),""),"")</f>
        <v/>
      </c>
      <c r="W60" s="31" t="s">
        <v>348</v>
      </c>
      <c r="X60" s="9"/>
      <c r="Y60" s="1"/>
      <c r="AH60" s="290">
        <f t="shared" si="30"/>
        <v>100</v>
      </c>
      <c r="AI60" s="295">
        <f t="shared" si="29"/>
        <v>0</v>
      </c>
      <c r="AJ60" s="295">
        <f t="shared" si="29"/>
        <v>1</v>
      </c>
      <c r="AL60" s="1"/>
    </row>
    <row r="61" spans="1:38">
      <c r="I61" s="1"/>
      <c r="J61" s="1"/>
      <c r="K61" s="1"/>
      <c r="L61" s="1"/>
      <c r="M61" s="1"/>
      <c r="N61" s="1"/>
      <c r="Q61" s="9">
        <v>21</v>
      </c>
      <c r="R61" s="9" t="str">
        <f ca="1">IF(AND(Organic="",Silt_Clay&lt;0.5),IF(Gravel&lt;=Sand,IF(Silt_Clay&lt;0.05,IF(OR(CU&lt;6,CC&lt;1,CC&gt;3),IF(Gravel&lt;0.15,Q61,""),""),""),""),"")</f>
        <v/>
      </c>
      <c r="S61" s="31" t="s">
        <v>349</v>
      </c>
      <c r="T61" s="9" t="str">
        <f ca="1">IF(AND(Organic="",Silt_Clay&gt;=0.5,Liquid_Limit&lt;0.5),IF(OR(Plasticity_Index&lt;0.04,Plasticity_Index&lt;0.73*(Liquid_Limit-0.2)),IF(Silt_Clay&lt;=0.7,IF(Sand&lt;Gravel,IF(Sand&gt;=0.15,Q61,""),""),""),""),"")</f>
        <v/>
      </c>
      <c r="U61" s="31" t="s">
        <v>350</v>
      </c>
      <c r="V61" s="9" t="str">
        <f ca="1">IF(Organic="x",IF(Liquid_Limit&gt;=0.5,IF(AND(Plasticity_Index&gt;=0.04,Plasticity_Index&gt;=0.73*(Liquid_Limit-0.2)),IF(Silt_Clay&lt;=0.7,IF(Sand&lt;Gravel,IF(Sand&gt;=0.15,Q61,""),""),""),""),""),"")</f>
        <v/>
      </c>
      <c r="W61" s="31" t="s">
        <v>351</v>
      </c>
      <c r="X61" s="9"/>
      <c r="Y61" s="1"/>
      <c r="AH61" s="290">
        <f t="shared" si="30"/>
        <v>150</v>
      </c>
      <c r="AI61" s="295">
        <f t="shared" si="29"/>
        <v>0</v>
      </c>
      <c r="AJ61" s="295">
        <f t="shared" si="29"/>
        <v>1</v>
      </c>
      <c r="AL61" s="1"/>
    </row>
    <row r="62" spans="1:38">
      <c r="I62" s="1"/>
      <c r="J62" s="1"/>
      <c r="K62" s="1"/>
      <c r="L62" s="1"/>
      <c r="Q62" s="9">
        <v>22</v>
      </c>
      <c r="R62" s="9" t="str">
        <f ca="1">IF(AND(Organic="",Silt_Clay&lt;0.5),IF(Gravel&lt;=Sand,IF(Silt_Clay&lt;0.05,IF(OR(CU&lt;6,CC&lt;1,CC&gt;3),IF(Gravel&gt;=0.15,Q62,""),""),""),""),"")</f>
        <v/>
      </c>
      <c r="S62" s="31" t="s">
        <v>352</v>
      </c>
      <c r="T62" s="9" t="str">
        <f ca="1">IF(AND(Organic="",Silt_Clay&gt;=0.5,Liquid_Limit&gt;=0.5,Non_Plastic=""),IF(Plasticity_Index&gt;=0.73*(Liquid_Limit-0.2),IF(Silt_Clay&gt;0.7,IF(Silt_Clay&gt;0.85,$P$55,""),""),""),"")</f>
        <v/>
      </c>
      <c r="U62" s="31" t="s">
        <v>353</v>
      </c>
      <c r="V62" s="9" t="str">
        <f ca="1">IF(Organic="x",IF(Liquid_Limit&gt;=0.5,IF(OR(Plasticity_Index&lt;0.04,Plasticity_Index&lt;0.73*(Liquid_Limit-0.2)),IF(Silt_Clay&gt;0.7,IF(Silt_Clay&gt;0.85,Q62,""),""),""),""),"")</f>
        <v/>
      </c>
      <c r="W62" s="31" t="s">
        <v>354</v>
      </c>
      <c r="X62" s="9"/>
      <c r="Y62" s="1"/>
      <c r="AI62" s="295"/>
      <c r="AJ62" s="295"/>
    </row>
    <row r="63" spans="1:38">
      <c r="I63" s="1"/>
      <c r="L63" s="1"/>
      <c r="Q63" s="9">
        <v>23</v>
      </c>
      <c r="R63" s="9" t="str">
        <f ca="1">IF(AND(Organic="",Silt_Clay&lt;0.5),IF(Gravel&lt;=Sand,IF(AND(Silt_Clay&gt;=0.05,Silt_Clay&lt;=0.12),IF(AND(CU&gt;=6,CC&gt;=1,CC&lt;=3),IF(OR(Silt="x",Plasticity_Index="n/a",Plasticity_Index=0),IF(Gravel&lt;0.15,Q63,""),""),""),""),""),"")</f>
        <v/>
      </c>
      <c r="S63" s="31" t="s">
        <v>355</v>
      </c>
      <c r="T63" s="9" t="str">
        <f ca="1">IF(AND(Organic="",Silt_Clay&gt;=0.5,Liquid_Limit&gt;=0.5,Non_Plastic=""),IF(Plasticity_Index&gt;=0.73*(Liquid_Limit-0.2),IF(Silt_Clay&gt;0.7,IF(AND(Silt_Clay&gt;0.7,Silt_Clay&lt;=0.85),IF(Sand&gt;=Gravel,Q63,""),""),""),""),"")</f>
        <v/>
      </c>
      <c r="U63" s="31" t="s">
        <v>356</v>
      </c>
      <c r="V63" s="9" t="str">
        <f ca="1">IF(Organic="x",IF(Liquid_Limit&gt;=0.5,IF(OR(Plasticity_Index&lt;0.04,Plasticity_Index&lt;0.73*(Liquid_Limit-0.2)),IF(Silt_Clay&gt;0.7,IF(AND(Silt_Clay&lt;=0.85,Silt_Clay&gt;0.7),IF(Sand&gt;=Gravel,Q63,""),""),""),""),""),"")</f>
        <v/>
      </c>
      <c r="W63" s="31" t="s">
        <v>357</v>
      </c>
      <c r="X63" s="9"/>
      <c r="Y63" s="1"/>
      <c r="AI63" s="295"/>
      <c r="AJ63" s="295"/>
    </row>
    <row r="64" spans="1:38">
      <c r="I64" s="1"/>
      <c r="L64" s="1"/>
      <c r="Q64" s="9">
        <v>24</v>
      </c>
      <c r="R64" s="9" t="str">
        <f ca="1">IF(AND(Organic="",Silt_Clay&lt;0.5),IF(Gravel&lt;=Sand,IF(AND(Silt_Clay&gt;=0.05,Silt_Clay&lt;=0.12),IF(AND(CU&gt;=6,CC&gt;=1,CC&lt;=3),IF(OR(Silt="x",Plasticity_Index="n/a",Plasticity_Index=0),IF(Gravel&gt;=0.15,Q64,""),""),""),""),""),"")</f>
        <v/>
      </c>
      <c r="S64" s="31" t="s">
        <v>358</v>
      </c>
      <c r="T64" s="9" t="str">
        <f ca="1">IF(AND(Organic="",Silt_Clay&gt;=0.5,Liquid_Limit&gt;=0.5,Non_Plastic=""),IF(Plasticity_Index&gt;=0.73*(Liquid_Limit-0.2),IF(Silt_Clay&gt;0.7,IF(AND(Silt_Clay&gt;0.7,Silt_Clay&lt;=0.85),IF(Sand&lt;Gravel,Q64,""),""),""),""),"")</f>
        <v/>
      </c>
      <c r="U64" s="31" t="s">
        <v>359</v>
      </c>
      <c r="V64" s="9" t="str">
        <f ca="1">IF(Organic="x",IF(Liquid_Limit&gt;=0.5,IF(OR(Plasticity_Index&lt;0.04,Plasticity_Index&lt;0.73*(Liquid_Limit-0.2)),IF(Silt_Clay&gt;0.7,IF(AND(Silt_Clay&lt;=0.85,Silt_Clay&gt;0.7),IF(Sand&lt;Gravel,Q64,""),""),""),""),""),"")</f>
        <v/>
      </c>
      <c r="W64" s="31" t="s">
        <v>360</v>
      </c>
      <c r="X64" s="9"/>
      <c r="Y64" s="1"/>
      <c r="AI64" s="295"/>
      <c r="AJ64" s="295"/>
    </row>
    <row r="65" spans="9:36">
      <c r="I65" s="1"/>
      <c r="Q65" s="9">
        <v>25</v>
      </c>
      <c r="R65" s="9" t="str">
        <f ca="1">IF(AND(Organic="",Silt_Clay&lt;0.5),IF(Gravel&lt;=Sand,IF(AND(Silt_Clay&gt;=0.05,Silt_Clay&lt;=0.12),IF(AND(CU&gt;=6,CC&gt;=1,CC&lt;=3),IF(OR(Silt="",Clay="x"),IF(Gravel&lt;0.15,Q65,""),""),""),""),""),"")</f>
        <v/>
      </c>
      <c r="S65" s="31" t="s">
        <v>361</v>
      </c>
      <c r="T65" s="9" t="str">
        <f ca="1">IF(AND(Organic="",Silt_Clay&gt;=0.5,Liquid_Limit&gt;=0.5,Non_Plastic=""),IF(Plasticity_Index&gt;=0.73*(Liquid_Limit-0.2),IF(Silt_Clay&lt;=0.7,IF(Sand&gt;=Gravel,IF(Gravel&lt;0.15,Q65,""),""),""),""),"")</f>
        <v/>
      </c>
      <c r="U65" s="31" t="s">
        <v>362</v>
      </c>
      <c r="V65" s="9" t="str">
        <f ca="1">IF(Organic="x",IF(Liquid_Limit&gt;=0.5,IF(OR(Plasticity_Index&lt;0.04,Plasticity_Index&lt;0.73*(Liquid_Limit-0.2)),IF(Silt_Clay&lt;=0.7,IF(Sand&gt;=Gravel,IF(Gravel&lt;0.15,Q65,""),""),""),""),""),"")</f>
        <v/>
      </c>
      <c r="W65" s="31" t="s">
        <v>363</v>
      </c>
      <c r="X65" s="9"/>
      <c r="Y65" s="1"/>
      <c r="AI65" s="295"/>
      <c r="AJ65" s="295"/>
    </row>
    <row r="66" spans="9:36">
      <c r="I66" s="1"/>
      <c r="Q66" s="9">
        <v>26</v>
      </c>
      <c r="R66" s="9" t="str">
        <f ca="1">IF(AND(Organic="",Silt_Clay&lt;0.5),IF(Gravel&lt;=Sand,IF(AND(Silt_Clay&gt;=0.05,Silt_Clay&lt;=0.12),IF(AND(CU&gt;=6,CC&gt;=1,CC&lt;=3),IF(OR(Silt="",Clay="x"),IF(Gravel&gt;=0.15,Q66,""),""),""),""),""),"")</f>
        <v/>
      </c>
      <c r="S66" s="31" t="s">
        <v>364</v>
      </c>
      <c r="T66" s="9" t="str">
        <f ca="1">IF(AND(Organic="",Silt_Clay&gt;=0.5,Liquid_Limit&gt;=0.5,Non_Plastic=""),IF(Plasticity_Index&gt;=0.73*(Liquid_Limit-0.2),IF(Silt_Clay&lt;=0.7,IF(Sand&gt;=Gravel,IF(Gravel&gt;=0.15,Q66,""),""),""),""),"")</f>
        <v/>
      </c>
      <c r="U66" s="31" t="s">
        <v>365</v>
      </c>
      <c r="V66" s="9" t="str">
        <f ca="1">IF(Organic="x",IF(Liquid_Limit&gt;=0.5,IF(OR(Plasticity_Index&lt;0.04,Plasticity_Index&lt;0.73*(Liquid_Limit-0.2)),IF(Silt_Clay&lt;=0.7,IF(Sand&gt;=Gravel,IF(Gravel&gt;=0.15,Q66,""),""),""),""),""),"")</f>
        <v/>
      </c>
      <c r="W66" s="31" t="s">
        <v>366</v>
      </c>
      <c r="X66" s="9"/>
      <c r="Y66" s="1"/>
      <c r="AI66" s="295"/>
      <c r="AJ66" s="295"/>
    </row>
    <row r="67" spans="9:36">
      <c r="I67" s="1"/>
      <c r="Q67" s="9">
        <v>27</v>
      </c>
      <c r="R67" s="9" t="str">
        <f ca="1">IF(AND(Organic="",Silt_Clay&lt;0.5),IF(Gravel&lt;=Sand,IF(AND(Silt_Clay&gt;=0.05,Silt_Clay&lt;=0.12),IF(OR(CU&lt;6,CC&lt;1,CC&gt;3),IF(OR(Silt="x",Plasticity_Index="n/a",Plasticity_Index=0),IF(Gravel&lt;0.15,Q67,""),""),""),""),""),"")</f>
        <v/>
      </c>
      <c r="S67" s="31" t="s">
        <v>367</v>
      </c>
      <c r="T67" s="9" t="str">
        <f ca="1">IF(AND(Organic="",Silt_Clay&gt;=0.5,Liquid_Limit&gt;=0.5,Non_Plastic=""),IF(Plasticity_Index&gt;=0.73*(Liquid_Limit-0.2),IF(Silt_Clay&lt;=0.7,IF(Sand&lt;Gravel,IF(Sand&lt;0.15,Q67,""),""),""),""),"")</f>
        <v/>
      </c>
      <c r="U67" s="31" t="s">
        <v>368</v>
      </c>
      <c r="V67" s="9" t="str">
        <f ca="1">IF(Organic="x",IF(Liquid_Limit&gt;=0.5,IF(OR(Plasticity_Index&lt;0.04,Plasticity_Index&lt;0.73*(Liquid_Limit-0.2)),IF(Silt_Clay&lt;=0.7,IF(Sand&lt;Gravel,IF(Sand&lt;0.15,Q67,""),""),""),""),""),"")</f>
        <v/>
      </c>
      <c r="W67" s="31" t="s">
        <v>369</v>
      </c>
      <c r="X67" s="9"/>
      <c r="Y67" s="1"/>
      <c r="AI67" s="295"/>
      <c r="AJ67" s="295"/>
    </row>
    <row r="68" spans="9:36">
      <c r="Q68" s="9">
        <v>28</v>
      </c>
      <c r="R68" s="9" t="str">
        <f ca="1">IF(AND(Organic="",Silt_Clay&lt;0.5),IF(Gravel&lt;=Sand,IF(AND(Silt_Clay&gt;=0.05,Silt_Clay&lt;=0.12),IF(OR(CU&lt;6,CC&lt;1,CC&gt;3),IF(AND(OR(Silt="x",Silt=""),Clay=""),IF(Gravel&gt;=0.15,Q68,""),""),""),""),""),"")</f>
        <v/>
      </c>
      <c r="S68" s="31" t="s">
        <v>370</v>
      </c>
      <c r="T68" s="9" t="str">
        <f ca="1">IF(AND(Organic="",Silt_Clay&gt;=0.5,Liquid_Limit&gt;=0.5,Non_Plastic=""),IF(Plasticity_Index&gt;=0.73*(Liquid_Limit-0.2),IF(Silt_Clay&lt;=0.7,IF(Sand&lt;Gravel,IF(Sand&gt;=0.15,Q68,""),""),""),""),"")</f>
        <v/>
      </c>
      <c r="U68" s="31" t="s">
        <v>371</v>
      </c>
      <c r="V68" s="9" t="str">
        <f ca="1">IF(Organic="x",IF(Liquid_Limit&gt;=0.5,IF(OR(Plasticity_Index&lt;0.04,Plasticity_Index&lt;0.73*(Liquid_Limit-0.2)),IF(Silt_Clay&lt;=0.7,IF(Sand&lt;Gravel,IF(Sand&gt;=0.15,Q68,""),""),""),""),""),"")</f>
        <v/>
      </c>
      <c r="W68" s="31" t="s">
        <v>372</v>
      </c>
      <c r="X68" s="9"/>
      <c r="Y68" s="1"/>
      <c r="AI68" s="295"/>
      <c r="AJ68" s="295"/>
    </row>
    <row r="69" spans="9:36">
      <c r="Q69" s="9">
        <v>29</v>
      </c>
      <c r="R69" s="9" t="str">
        <f ca="1">IF(AND(Organic="",Silt_Clay&lt;0.5),IF(Gravel&lt;=Sand,IF(AND(Silt_Clay&gt;=0.05,Silt_Clay&lt;=0.12),IF(OR(CU&lt;6,CC&lt;1,CC&gt;3),IF(AND(Silt="",Clay="x"),IF(Gravel&lt;0.15,Q69,""),""),""),""),""),"")</f>
        <v/>
      </c>
      <c r="S69" s="31" t="s">
        <v>373</v>
      </c>
      <c r="T69" s="9" t="str">
        <f ca="1">IF(AND(Organic="",Silt_Clay&gt;=0.5,Liquid_Limit&gt;=0.5,Non_Plastic=""),IF(Plasticity_Index&lt;0.73*(Liquid_Limit-0.2),IF(Silt_Clay&gt;0.7,IF(Silt_Clay&gt;0.85,Q69,""),""),""),"")</f>
        <v/>
      </c>
      <c r="U69" s="31" t="s">
        <v>374</v>
      </c>
      <c r="V69" s="9"/>
      <c r="W69" s="9"/>
      <c r="X69" s="9" t="s">
        <v>220</v>
      </c>
      <c r="Y69" s="9"/>
    </row>
    <row r="70" spans="9:36">
      <c r="Q70" s="9">
        <v>30</v>
      </c>
      <c r="R70" s="9" t="str">
        <f ca="1">IF(AND(Organic="",Silt_Clay&lt;0.5),IF(Gravel&lt;=Sand,IF(AND(Silt_Clay&gt;=0.05,Silt_Clay&lt;=0.12),IF(OR(CU&lt;6,CC&lt;1,CC&gt;3),IF(AND(Silt="",Clay="x"),IF(Gravel&gt;=0.15,Q70,""),""),""),""),""),"")</f>
        <v/>
      </c>
      <c r="S70" s="31" t="s">
        <v>375</v>
      </c>
      <c r="T70" s="9" t="str">
        <f ca="1">IF(AND(Organic="",Silt_Clay&gt;=0.5,Liquid_Limit&gt;=0.5,Non_Plastic=""),IF(Plasticity_Index&lt;0.73*(Liquid_Limit-0.2),IF(Silt_Clay&gt;0.7,IF(AND(Silt_Clay&gt;0.7,Silt_Clay&lt;=0.85),IF(Sand&gt;=Gravel,Q70,""),""),""),""),"")</f>
        <v/>
      </c>
      <c r="U70" s="31" t="s">
        <v>376</v>
      </c>
      <c r="V70" s="9"/>
      <c r="W70" s="9"/>
      <c r="X70" s="9" t="s">
        <v>220</v>
      </c>
      <c r="Y70" s="9"/>
    </row>
    <row r="71" spans="9:36">
      <c r="Q71" s="9">
        <v>31</v>
      </c>
      <c r="R71" s="9" t="str">
        <f ca="1">IF(AND(Organic="",Silt_Clay&lt;0.5),IF(Gravel&lt;=Sand,IF(Silt_Clay&gt;0.12,IF(OR(AND(Silt="x",Silt=""),Clay=""),IF(Gravel&lt;0.15,Q71,""),""),""),""),"")</f>
        <v/>
      </c>
      <c r="S71" s="31" t="s">
        <v>377</v>
      </c>
      <c r="T71" s="9" t="str">
        <f ca="1">IF(AND(Organic="",Silt_Clay&gt;=0.5,Liquid_Limit&gt;=0.5,Non_Plastic=""),IF(Plasticity_Index&lt;0.73*(Liquid_Limit-0.2),IF(Silt_Clay&gt;0.7,IF(AND(Silt_Clay&gt;0.7,Silt_Clay&lt;=0.85),IF(Sand&lt;Gravel,Q71,""),""),""),""),"")</f>
        <v/>
      </c>
      <c r="U71" s="31" t="s">
        <v>378</v>
      </c>
      <c r="V71" s="9"/>
      <c r="W71" s="9"/>
      <c r="X71" s="9" t="s">
        <v>220</v>
      </c>
      <c r="Y71" s="9"/>
    </row>
    <row r="72" spans="9:36">
      <c r="Q72" s="9">
        <v>32</v>
      </c>
      <c r="R72" s="9" t="str">
        <f ca="1">IF(AND(Organic="",Silt_Clay&lt;0.5),IF(Gravel&lt;=Sand,IF(Silt_Clay&gt;0.12,IF(AND(OR(Silt="x",Silt=""),Clay=""),IF(Gravel&gt;=0.15,Q72,""),""),""),""),"")</f>
        <v/>
      </c>
      <c r="S72" s="31" t="s">
        <v>379</v>
      </c>
      <c r="T72" s="9" t="str">
        <f ca="1">IF(AND(Organic="",Silt_Clay&gt;=0.5,Liquid_Limit&gt;=0.5,Non_Plastic=""),IF(Plasticity_Index&lt;0.73*(Liquid_Limit-0.2),IF(Silt_Clay&lt;=0.7,IF(Sand&gt;=Gravel,IF(Gravel&lt;0.15,Q72,""),""),""),""),"")</f>
        <v/>
      </c>
      <c r="U72" s="31" t="s">
        <v>380</v>
      </c>
      <c r="V72" s="9"/>
      <c r="W72" s="9"/>
      <c r="X72" s="9" t="s">
        <v>220</v>
      </c>
      <c r="Y72" s="9"/>
    </row>
    <row r="73" spans="9:36">
      <c r="Q73" s="9">
        <v>33</v>
      </c>
      <c r="R73" s="9" t="str">
        <f ca="1">IF(AND(Organic="",Silt_Clay&lt;0.5),IF(Gravel&lt;=Sand,IF(Silt_Clay&gt;0.12,IF(AND(Silt="",Clay="x"),IF(Gravel&lt;0.15,Q73,""),""),""),""),"")</f>
        <v/>
      </c>
      <c r="S73" s="31" t="s">
        <v>381</v>
      </c>
      <c r="T73" s="9" t="str">
        <f ca="1">IF(AND(Organic="",Silt_Clay&gt;=0.5,Liquid_Limit&gt;=0.5,Non_Plastic=""),IF(Plasticity_Index&lt;0.73*(Liquid_Limit-0.2),IF(Silt_Clay&lt;=0.7,IF(Sand&gt;=Gravel,IF(Gravel&gt;=0.15,Q73,""),""),""),""),"")</f>
        <v/>
      </c>
      <c r="U73" s="31" t="s">
        <v>382</v>
      </c>
      <c r="V73" s="9"/>
      <c r="W73" s="9"/>
      <c r="X73" s="9" t="s">
        <v>220</v>
      </c>
      <c r="Y73" s="9"/>
    </row>
    <row r="74" spans="9:36">
      <c r="Q74" s="9">
        <v>34</v>
      </c>
      <c r="R74" s="9" t="str">
        <f ca="1">IF(AND(Organic="",Silt_Clay&lt;0.5),IF(Gravel&lt;=Sand,IF(Silt_Clay&gt;0.12,IF(AND(Silt="",Clay="x"),IF(Gravel&gt;=0.15,Q74,""),""),""),""),"")</f>
        <v/>
      </c>
      <c r="S74" s="31" t="s">
        <v>383</v>
      </c>
      <c r="T74" s="9" t="str">
        <f ca="1">IF(AND(Organic="",Silt_Clay&gt;=0.5,Liquid_Limit&gt;=0.5,Non_Plastic=""),IF(Plasticity_Index&lt;0.73*(Liquid_Limit-0.2),IF(Silt_Clay&lt;=0.7,IF(Sand&lt;Gravel,IF(Sand&lt;0.15,Q74,""),""),""),""),"")</f>
        <v/>
      </c>
      <c r="U74" s="31" t="s">
        <v>384</v>
      </c>
      <c r="V74" s="9"/>
      <c r="W74" s="9"/>
      <c r="X74" s="9" t="s">
        <v>220</v>
      </c>
      <c r="Y74" s="9"/>
    </row>
    <row r="75" spans="9:36">
      <c r="Q75" s="9">
        <v>35</v>
      </c>
      <c r="R75" s="9" t="str">
        <f ca="1">IF(AND(Organic="",Silt_Clay&lt;0.5),IF(Gravel&lt;=Sand,IF(Silt_Clay&gt;0.12,IF(AND(Silt="x",Clay="x"),IF(Gravel&lt;0.15,Q75,""),""),""),""),"")</f>
        <v/>
      </c>
      <c r="S75" s="31" t="s">
        <v>385</v>
      </c>
      <c r="T75" s="9" t="str">
        <f ca="1">IF(AND(Organic="",Silt_Clay&gt;=0.5,Liquid_Limit&gt;=0.5,Non_Plastic=""),IF(Plasticity_Index&lt;0.73*(Liquid_Limit-0.2),IF(Silt_Clay&lt;=0.7,IF(Sand&lt;Gravel,IF(Sand&gt;=0.15,Q75,""),""),""),""),"")</f>
        <v/>
      </c>
      <c r="U75" s="31" t="s">
        <v>386</v>
      </c>
      <c r="V75" s="9"/>
      <c r="W75" s="9"/>
      <c r="X75" s="9" t="s">
        <v>220</v>
      </c>
      <c r="Y75" s="9"/>
    </row>
    <row r="76" spans="9:36">
      <c r="Q76" s="9">
        <v>36</v>
      </c>
      <c r="R76" s="9" t="str">
        <f ca="1">IF(AND(Organic="",Silt_Clay&lt;0.5),IF(Gravel&lt;=Sand,IF(Silt_Clay&gt;0.12,IF(AND(Silt="x",Clay="x"),IF(Gravel&gt;=0.15,Q76,""),""),""),""),"")</f>
        <v/>
      </c>
      <c r="S76" s="31" t="s">
        <v>387</v>
      </c>
      <c r="T76" s="9"/>
      <c r="U76" s="9"/>
      <c r="V76" s="9"/>
      <c r="W76" s="9"/>
      <c r="X76" s="9" t="s">
        <v>220</v>
      </c>
      <c r="Y76" s="9"/>
    </row>
  </sheetData>
  <phoneticPr fontId="0" type="noConversion"/>
  <pageMargins left="0.75" right="0.75" top="1" bottom="1" header="0.5" footer="0.5"/>
  <pageSetup scale="90" orientation="portrait" horizontalDpi="300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60"/>
  <sheetViews>
    <sheetView showGridLines="0" workbookViewId="0">
      <selection activeCell="P34" sqref="P34"/>
    </sheetView>
  </sheetViews>
  <sheetFormatPr defaultColWidth="7.7109375" defaultRowHeight="9.9499999999999993" customHeight="1"/>
  <cols>
    <col min="1" max="16384" width="7.7109375" style="290"/>
  </cols>
  <sheetData>
    <row r="1" spans="1:12" ht="9" customHeight="1" thickTop="1">
      <c r="A1" s="380"/>
      <c r="B1" s="381"/>
      <c r="C1" s="381"/>
      <c r="D1" s="381"/>
      <c r="E1" s="381"/>
      <c r="F1" s="381"/>
      <c r="G1" s="381"/>
      <c r="H1" s="381"/>
      <c r="I1" s="381"/>
      <c r="J1" s="381"/>
      <c r="K1" s="381"/>
      <c r="L1" s="382"/>
    </row>
    <row r="2" spans="1:12" ht="9" customHeight="1">
      <c r="A2" s="383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5"/>
    </row>
    <row r="3" spans="1:12" ht="9" customHeight="1">
      <c r="A3" s="383"/>
      <c r="B3" s="384"/>
      <c r="C3" s="384"/>
      <c r="D3" s="384"/>
      <c r="E3" s="384"/>
      <c r="F3" s="384"/>
      <c r="G3" s="384"/>
      <c r="H3" s="384"/>
      <c r="I3" s="384"/>
      <c r="J3" s="384"/>
      <c r="K3" s="384"/>
      <c r="L3" s="385"/>
    </row>
    <row r="4" spans="1:12" ht="9" customHeight="1">
      <c r="A4" s="383"/>
      <c r="B4" s="384"/>
      <c r="C4" s="384"/>
      <c r="D4" s="384"/>
      <c r="E4" s="384"/>
      <c r="F4" s="384"/>
      <c r="G4" s="384"/>
      <c r="H4" s="384"/>
      <c r="I4" s="384"/>
      <c r="J4" s="384"/>
      <c r="K4" s="384"/>
      <c r="L4" s="385"/>
    </row>
    <row r="5" spans="1:12" ht="9" customHeight="1">
      <c r="A5" s="383"/>
      <c r="B5" s="384"/>
      <c r="C5" s="384"/>
      <c r="D5" s="384"/>
      <c r="E5" s="384"/>
      <c r="F5" s="384"/>
      <c r="G5" s="384"/>
      <c r="H5" s="384"/>
      <c r="I5" s="384"/>
      <c r="J5" s="384"/>
      <c r="K5" s="384"/>
      <c r="L5" s="385"/>
    </row>
    <row r="6" spans="1:12" ht="9" customHeight="1">
      <c r="A6" s="383"/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5"/>
    </row>
    <row r="7" spans="1:12" ht="9" customHeight="1">
      <c r="A7" s="383"/>
      <c r="B7" s="384"/>
      <c r="C7" s="384"/>
      <c r="D7" s="384"/>
      <c r="E7" s="384"/>
      <c r="F7" s="384"/>
      <c r="G7" s="384"/>
      <c r="H7" s="384"/>
      <c r="I7" s="384"/>
      <c r="J7" s="384"/>
      <c r="K7" s="384"/>
      <c r="L7" s="385"/>
    </row>
    <row r="8" spans="1:12" ht="9" customHeight="1">
      <c r="A8" s="383"/>
      <c r="B8" s="384"/>
      <c r="C8" s="384"/>
      <c r="D8" s="384"/>
      <c r="E8" s="384"/>
      <c r="F8" s="384"/>
      <c r="G8" s="384"/>
      <c r="H8" s="384"/>
      <c r="I8" s="384"/>
      <c r="J8" s="384"/>
      <c r="K8" s="384"/>
      <c r="L8" s="385"/>
    </row>
    <row r="9" spans="1:12" ht="9" customHeight="1">
      <c r="A9" s="383"/>
      <c r="B9" s="384"/>
      <c r="C9" s="384"/>
      <c r="D9" s="384"/>
      <c r="E9" s="384"/>
      <c r="F9" s="384"/>
      <c r="G9" s="384"/>
      <c r="H9" s="384"/>
      <c r="I9" s="384"/>
      <c r="J9" s="384"/>
      <c r="K9" s="384"/>
      <c r="L9" s="385"/>
    </row>
    <row r="10" spans="1:12" ht="9" customHeight="1">
      <c r="A10" s="383"/>
      <c r="B10" s="384"/>
      <c r="C10" s="384"/>
      <c r="D10" s="384"/>
      <c r="E10" s="384"/>
      <c r="F10" s="384"/>
      <c r="G10" s="384"/>
      <c r="H10" s="384"/>
      <c r="I10" s="384"/>
      <c r="J10" s="384"/>
      <c r="K10" s="384"/>
      <c r="L10" s="385"/>
    </row>
    <row r="11" spans="1:12" ht="9" customHeight="1">
      <c r="A11" s="383"/>
      <c r="B11" s="384"/>
      <c r="C11" s="384"/>
      <c r="D11" s="384"/>
      <c r="E11" s="384"/>
      <c r="F11" s="384"/>
      <c r="G11" s="384"/>
      <c r="H11" s="384"/>
      <c r="I11" s="384"/>
      <c r="J11" s="384"/>
      <c r="K11" s="384"/>
      <c r="L11" s="385"/>
    </row>
    <row r="12" spans="1:12" ht="9" customHeight="1">
      <c r="A12" s="383"/>
      <c r="B12" s="384"/>
      <c r="C12" s="384"/>
      <c r="D12" s="384"/>
      <c r="E12" s="384"/>
      <c r="F12" s="384"/>
      <c r="G12" s="384"/>
      <c r="H12" s="384"/>
      <c r="I12" s="384"/>
      <c r="J12" s="384"/>
      <c r="K12" s="384"/>
      <c r="L12" s="385"/>
    </row>
    <row r="13" spans="1:12" ht="9" customHeight="1">
      <c r="A13" s="383"/>
      <c r="B13" s="384"/>
      <c r="C13" s="384"/>
      <c r="D13" s="384"/>
      <c r="E13" s="384"/>
      <c r="F13" s="384"/>
      <c r="G13" s="384"/>
      <c r="H13" s="384"/>
      <c r="I13" s="384"/>
      <c r="J13" s="384"/>
      <c r="K13" s="384"/>
      <c r="L13" s="385"/>
    </row>
    <row r="14" spans="1:12" ht="9" customHeight="1">
      <c r="A14" s="383"/>
      <c r="B14" s="384"/>
      <c r="C14" s="384"/>
      <c r="D14" s="384"/>
      <c r="E14" s="384"/>
      <c r="F14" s="384"/>
      <c r="G14" s="384"/>
      <c r="H14" s="384"/>
      <c r="I14" s="384"/>
      <c r="J14" s="384"/>
      <c r="K14" s="384"/>
      <c r="L14" s="385"/>
    </row>
    <row r="15" spans="1:12" ht="9" customHeight="1">
      <c r="A15" s="383"/>
      <c r="B15" s="384"/>
      <c r="C15" s="384"/>
      <c r="D15" s="384"/>
      <c r="E15" s="384"/>
      <c r="F15" s="384"/>
      <c r="G15" s="384"/>
      <c r="H15" s="384"/>
      <c r="I15" s="384"/>
      <c r="J15" s="384"/>
      <c r="K15" s="384"/>
      <c r="L15" s="385"/>
    </row>
    <row r="16" spans="1:12" ht="9" customHeight="1">
      <c r="A16" s="383"/>
      <c r="B16" s="384"/>
      <c r="C16" s="384"/>
      <c r="D16" s="384"/>
      <c r="E16" s="384"/>
      <c r="F16" s="384"/>
      <c r="G16" s="384"/>
      <c r="H16" s="384"/>
      <c r="I16" s="384"/>
      <c r="J16" s="384"/>
      <c r="K16" s="384"/>
      <c r="L16" s="385"/>
    </row>
    <row r="17" spans="1:20" ht="9" customHeight="1">
      <c r="A17" s="383"/>
      <c r="B17" s="384"/>
      <c r="C17" s="384"/>
      <c r="D17" s="384"/>
      <c r="E17" s="384"/>
      <c r="F17" s="384"/>
      <c r="G17" s="384"/>
      <c r="H17" s="384"/>
      <c r="I17" s="384"/>
      <c r="J17" s="384"/>
      <c r="K17" s="384"/>
      <c r="L17" s="385"/>
    </row>
    <row r="18" spans="1:20" ht="9" customHeight="1">
      <c r="A18" s="383"/>
      <c r="B18" s="384"/>
      <c r="C18" s="384"/>
      <c r="D18" s="384"/>
      <c r="E18" s="384"/>
      <c r="F18" s="384"/>
      <c r="G18" s="384"/>
      <c r="H18" s="384"/>
      <c r="I18" s="384"/>
      <c r="J18" s="384"/>
      <c r="K18" s="384"/>
      <c r="L18" s="385"/>
    </row>
    <row r="19" spans="1:20" ht="9" customHeight="1">
      <c r="A19" s="383"/>
      <c r="B19" s="384"/>
      <c r="C19" s="384"/>
      <c r="D19" s="384"/>
      <c r="E19" s="384"/>
      <c r="F19" s="384"/>
      <c r="G19" s="384"/>
      <c r="H19" s="384"/>
      <c r="I19" s="384"/>
      <c r="J19" s="384"/>
      <c r="K19" s="384"/>
      <c r="L19" s="385"/>
    </row>
    <row r="20" spans="1:20" ht="9" customHeight="1">
      <c r="A20" s="383"/>
      <c r="B20" s="384"/>
      <c r="C20" s="384"/>
      <c r="D20" s="384"/>
      <c r="E20" s="384"/>
      <c r="F20" s="384"/>
      <c r="G20" s="384"/>
      <c r="H20" s="384"/>
      <c r="I20" s="384"/>
      <c r="J20" s="384"/>
      <c r="K20" s="384"/>
      <c r="L20" s="385"/>
    </row>
    <row r="21" spans="1:20" ht="9" customHeight="1">
      <c r="A21" s="383"/>
      <c r="B21" s="384"/>
      <c r="C21" s="384"/>
      <c r="D21" s="384"/>
      <c r="E21" s="384"/>
      <c r="F21" s="384"/>
      <c r="G21" s="384"/>
      <c r="H21" s="384"/>
      <c r="I21" s="384"/>
      <c r="J21" s="384"/>
      <c r="K21" s="384"/>
      <c r="L21" s="385"/>
      <c r="P21" s="386"/>
      <c r="Q21" s="384"/>
      <c r="R21" s="384"/>
      <c r="S21" s="384"/>
      <c r="T21" s="384"/>
    </row>
    <row r="22" spans="1:20" ht="9" customHeight="1">
      <c r="A22" s="383"/>
      <c r="B22" s="384"/>
      <c r="C22" s="384"/>
      <c r="D22" s="384"/>
      <c r="E22" s="384"/>
      <c r="F22" s="384"/>
      <c r="G22" s="384"/>
      <c r="H22" s="384"/>
      <c r="I22" s="384"/>
      <c r="J22" s="384"/>
      <c r="K22" s="384"/>
      <c r="L22" s="385"/>
    </row>
    <row r="23" spans="1:20" ht="9" customHeight="1">
      <c r="A23" s="383"/>
      <c r="B23" s="384"/>
      <c r="C23" s="384"/>
      <c r="D23" s="384"/>
      <c r="E23" s="384"/>
      <c r="F23" s="384"/>
      <c r="G23" s="384"/>
      <c r="H23" s="384"/>
      <c r="I23" s="384"/>
      <c r="J23" s="384"/>
      <c r="K23" s="384"/>
      <c r="L23" s="385"/>
    </row>
    <row r="24" spans="1:20" ht="9" customHeight="1">
      <c r="A24" s="383"/>
      <c r="B24" s="384"/>
      <c r="C24" s="384"/>
      <c r="D24" s="384"/>
      <c r="E24" s="384"/>
      <c r="F24" s="384"/>
      <c r="G24" s="384"/>
      <c r="H24" s="384"/>
      <c r="I24" s="384"/>
      <c r="J24" s="384"/>
      <c r="K24" s="384"/>
      <c r="L24" s="385"/>
    </row>
    <row r="25" spans="1:20" ht="9" customHeight="1">
      <c r="A25" s="383"/>
      <c r="B25" s="384"/>
      <c r="C25" s="384"/>
      <c r="D25" s="384"/>
      <c r="E25" s="384"/>
      <c r="F25" s="384"/>
      <c r="G25" s="384"/>
      <c r="H25" s="384"/>
      <c r="I25" s="384"/>
      <c r="J25" s="384"/>
      <c r="K25" s="384"/>
      <c r="L25" s="385"/>
    </row>
    <row r="26" spans="1:20" ht="9" customHeight="1">
      <c r="A26" s="383"/>
      <c r="B26" s="384"/>
      <c r="C26" s="384"/>
      <c r="D26" s="384"/>
      <c r="E26" s="384"/>
      <c r="F26" s="384"/>
      <c r="G26" s="384"/>
      <c r="H26" s="384"/>
      <c r="I26" s="384"/>
      <c r="J26" s="384"/>
      <c r="K26" s="384"/>
      <c r="L26" s="385"/>
    </row>
    <row r="27" spans="1:20" ht="9" customHeight="1">
      <c r="A27" s="383"/>
      <c r="B27" s="384"/>
      <c r="C27" s="384"/>
      <c r="D27" s="384"/>
      <c r="E27" s="384"/>
      <c r="F27" s="384"/>
      <c r="G27" s="384"/>
      <c r="H27" s="384"/>
      <c r="I27" s="384"/>
      <c r="J27" s="384"/>
      <c r="K27" s="384"/>
      <c r="L27" s="385"/>
    </row>
    <row r="28" spans="1:20" ht="9" customHeight="1">
      <c r="A28" s="383"/>
      <c r="B28" s="384"/>
      <c r="C28" s="384"/>
      <c r="D28" s="384"/>
      <c r="E28" s="384"/>
      <c r="F28" s="384"/>
      <c r="G28" s="384"/>
      <c r="H28" s="384"/>
      <c r="I28" s="384"/>
      <c r="J28" s="384"/>
      <c r="K28" s="384"/>
      <c r="L28" s="385"/>
    </row>
    <row r="29" spans="1:20" ht="9" customHeight="1">
      <c r="A29" s="383"/>
      <c r="B29" s="384"/>
      <c r="C29" s="384"/>
      <c r="D29" s="387"/>
      <c r="E29" s="384"/>
      <c r="F29" s="387"/>
      <c r="G29" s="384"/>
      <c r="H29" s="384"/>
      <c r="I29" s="384"/>
      <c r="J29" s="384"/>
      <c r="K29" s="384"/>
      <c r="L29" s="385"/>
    </row>
    <row r="30" spans="1:20" ht="9" customHeight="1" thickBot="1">
      <c r="A30" s="383"/>
      <c r="B30" s="384"/>
      <c r="C30" s="384"/>
      <c r="D30" s="384"/>
      <c r="E30" s="384"/>
      <c r="F30" s="384"/>
      <c r="G30" s="384"/>
      <c r="H30" s="384"/>
      <c r="I30" s="384"/>
      <c r="J30" s="384"/>
      <c r="K30" s="384"/>
      <c r="L30" s="385"/>
    </row>
    <row r="31" spans="1:20" ht="11.1" customHeight="1">
      <c r="A31" s="388" t="s">
        <v>459</v>
      </c>
      <c r="B31" s="389" t="str">
        <f ca="1">IF('Sieve Data'!H2="","",'Sieve Data'!H2)</f>
        <v/>
      </c>
      <c r="C31" s="389"/>
      <c r="D31" s="389"/>
      <c r="E31" s="389"/>
      <c r="F31" s="390" t="s">
        <v>462</v>
      </c>
      <c r="G31" s="391">
        <f ca="1">'Sieve Data'!AX15</f>
        <v>7.4999999999999997E-3</v>
      </c>
      <c r="H31" s="392" t="s">
        <v>455</v>
      </c>
      <c r="I31" s="393"/>
      <c r="J31" s="393"/>
      <c r="K31" s="393"/>
      <c r="L31" s="394" t="s">
        <v>470</v>
      </c>
    </row>
    <row r="32" spans="1:20" ht="11.1" customHeight="1">
      <c r="A32" s="395" t="s">
        <v>4</v>
      </c>
      <c r="B32" s="396" t="str">
        <f ca="1">IF('Sieve Data'!H3="","",'Sieve Data'!H3)</f>
        <v/>
      </c>
      <c r="C32" s="397"/>
      <c r="D32" s="397"/>
      <c r="E32" s="397"/>
      <c r="F32" s="398" t="s">
        <v>463</v>
      </c>
      <c r="G32" s="399">
        <f ca="1">'Sieve Data'!AX16</f>
        <v>2.2499999999999999E-2</v>
      </c>
      <c r="H32" s="400" t="str">
        <f ca="1">'Sieve Data'!I13</f>
        <v>No Data Provided</v>
      </c>
      <c r="I32" s="401"/>
      <c r="J32" s="401"/>
      <c r="K32" s="401"/>
      <c r="L32" s="402">
        <f ca="1">Gravel</f>
        <v>0</v>
      </c>
    </row>
    <row r="33" spans="1:12" ht="11.1" customHeight="1">
      <c r="A33" s="403" t="s">
        <v>6</v>
      </c>
      <c r="B33" s="396" t="str">
        <f ca="1">IF('Sieve Data'!H4="","",'Sieve Data'!H4)</f>
        <v/>
      </c>
      <c r="C33" s="397"/>
      <c r="D33" s="397"/>
      <c r="E33" s="397"/>
      <c r="F33" s="398" t="s">
        <v>464</v>
      </c>
      <c r="G33" s="397">
        <f ca="1">'Sieve Data'!AX17</f>
        <v>4.4999999999999998E-2</v>
      </c>
      <c r="H33" s="384"/>
      <c r="I33" s="401"/>
      <c r="J33" s="401"/>
      <c r="K33" s="401"/>
      <c r="L33" s="404" t="s">
        <v>471</v>
      </c>
    </row>
    <row r="34" spans="1:12" ht="11.1" customHeight="1">
      <c r="A34" s="403" t="s">
        <v>9</v>
      </c>
      <c r="B34" s="396" t="str">
        <f ca="1">IF('Sieve Data'!H5="","",'Sieve Data'!H5)</f>
        <v/>
      </c>
      <c r="C34" s="397"/>
      <c r="D34" s="397"/>
      <c r="E34" s="397"/>
      <c r="F34" s="398" t="s">
        <v>465</v>
      </c>
      <c r="G34" s="397">
        <f ca="1">CC</f>
        <v>1.5</v>
      </c>
      <c r="H34" s="405" t="s">
        <v>237</v>
      </c>
      <c r="I34" s="401"/>
      <c r="J34" s="401"/>
      <c r="K34" s="401"/>
      <c r="L34" s="402">
        <f ca="1">Sand</f>
        <v>0</v>
      </c>
    </row>
    <row r="35" spans="1:12" ht="11.1" customHeight="1">
      <c r="A35" s="403" t="s">
        <v>456</v>
      </c>
      <c r="B35" s="406" t="str">
        <f ca="1">IF('Sieve Data'!K2="","",'Sieve Data'!K2)</f>
        <v/>
      </c>
      <c r="C35" s="384"/>
      <c r="D35" s="407"/>
      <c r="E35" s="407"/>
      <c r="F35" s="398" t="s">
        <v>466</v>
      </c>
      <c r="G35" s="397">
        <f ca="1">CU</f>
        <v>6</v>
      </c>
      <c r="H35" s="408" t="str">
        <f ca="1">'Sieve Data'!AG1</f>
        <v xml:space="preserve"> No Specs  </v>
      </c>
      <c r="I35" s="409"/>
      <c r="J35" s="409"/>
      <c r="K35" s="409"/>
      <c r="L35" s="410" t="s">
        <v>472</v>
      </c>
    </row>
    <row r="36" spans="1:12" ht="11.1" customHeight="1">
      <c r="A36" s="403" t="s">
        <v>473</v>
      </c>
      <c r="B36" s="406" t="str">
        <f ca="1">IF('Sieve Data'!K3="","",'Sieve Data'!K3)</f>
        <v/>
      </c>
      <c r="C36" s="384"/>
      <c r="D36" s="384"/>
      <c r="E36" s="384"/>
      <c r="F36" s="398" t="s">
        <v>238</v>
      </c>
      <c r="G36" s="397">
        <f ca="1">Liquid_Limit</f>
        <v>0</v>
      </c>
      <c r="H36" s="384"/>
      <c r="I36" s="409"/>
      <c r="J36" s="409"/>
      <c r="K36" s="409"/>
      <c r="L36" s="402">
        <f ca="1">Silt_Clay</f>
        <v>1</v>
      </c>
    </row>
    <row r="37" spans="1:12" ht="11.1" customHeight="1">
      <c r="A37" s="403" t="s">
        <v>458</v>
      </c>
      <c r="B37" s="397" t="str">
        <f ca="1">IF('Sieve Data'!K4="","",'Sieve Data'!K4)</f>
        <v/>
      </c>
      <c r="C37" s="384"/>
      <c r="D37" s="384"/>
      <c r="E37" s="384"/>
      <c r="F37" s="398" t="s">
        <v>239</v>
      </c>
      <c r="G37" s="397">
        <f ca="1">Plastic_Limit</f>
        <v>0</v>
      </c>
      <c r="H37" s="401" t="s">
        <v>457</v>
      </c>
      <c r="I37" s="409"/>
      <c r="J37" s="409"/>
      <c r="K37" s="409" t="s">
        <v>469</v>
      </c>
      <c r="L37" s="411"/>
    </row>
    <row r="38" spans="1:12" ht="11.1" customHeight="1" thickBot="1">
      <c r="A38" s="412" t="s">
        <v>460</v>
      </c>
      <c r="B38" s="415" t="str">
        <f ca="1">IF('Sieve Data'!K5="","",'Sieve Data'!K5)</f>
        <v/>
      </c>
      <c r="C38" s="413"/>
      <c r="D38" s="413"/>
      <c r="E38" s="413"/>
      <c r="F38" s="414" t="s">
        <v>240</v>
      </c>
      <c r="G38" s="415">
        <f ca="1">Plasticity_Index</f>
        <v>0</v>
      </c>
      <c r="H38" s="416">
        <f ca="1">Fineness_Modulus</f>
        <v>0</v>
      </c>
      <c r="I38" s="417"/>
      <c r="J38" s="417"/>
      <c r="K38" s="418" t="str">
        <f ca="1">'Sieve Data'!K9</f>
        <v>Yes</v>
      </c>
      <c r="L38" s="419"/>
    </row>
    <row r="39" spans="1:12" ht="9.6" customHeight="1">
      <c r="A39" s="376" t="s">
        <v>284</v>
      </c>
      <c r="B39" s="164"/>
      <c r="C39" s="359" t="s">
        <v>401</v>
      </c>
      <c r="D39" s="360" t="s">
        <v>16</v>
      </c>
      <c r="E39" s="147"/>
      <c r="F39" s="147"/>
      <c r="G39" s="375" t="s">
        <v>468</v>
      </c>
      <c r="H39" s="164"/>
      <c r="I39" s="359" t="s">
        <v>401</v>
      </c>
      <c r="J39" s="360" t="s">
        <v>16</v>
      </c>
      <c r="K39" s="147"/>
      <c r="L39" s="148"/>
    </row>
    <row r="40" spans="1:12" ht="9.6" customHeight="1">
      <c r="A40" s="376" t="s">
        <v>467</v>
      </c>
      <c r="B40" s="164"/>
      <c r="C40" s="361" t="s">
        <v>15</v>
      </c>
      <c r="D40" s="362" t="s">
        <v>15</v>
      </c>
      <c r="E40" s="150"/>
      <c r="F40" s="150"/>
      <c r="G40" s="375" t="s">
        <v>467</v>
      </c>
      <c r="H40" s="164"/>
      <c r="I40" s="361" t="s">
        <v>15</v>
      </c>
      <c r="J40" s="362" t="s">
        <v>15</v>
      </c>
      <c r="K40" s="150"/>
      <c r="L40" s="151"/>
    </row>
    <row r="41" spans="1:12" ht="9.6" customHeight="1">
      <c r="A41" s="347" t="s">
        <v>18</v>
      </c>
      <c r="B41" s="348" t="s">
        <v>23</v>
      </c>
      <c r="C41" s="349" t="s">
        <v>20</v>
      </c>
      <c r="D41" s="177" t="s">
        <v>21</v>
      </c>
      <c r="E41" s="350" t="s">
        <v>22</v>
      </c>
      <c r="F41" s="174" t="s">
        <v>22</v>
      </c>
      <c r="G41" s="351" t="s">
        <v>18</v>
      </c>
      <c r="H41" s="348" t="s">
        <v>23</v>
      </c>
      <c r="I41" s="349" t="s">
        <v>20</v>
      </c>
      <c r="J41" s="177" t="s">
        <v>21</v>
      </c>
      <c r="K41" s="350" t="s">
        <v>22</v>
      </c>
      <c r="L41" s="352" t="s">
        <v>22</v>
      </c>
    </row>
    <row r="42" spans="1:12" ht="9.6" customHeight="1">
      <c r="A42" s="143" t="s">
        <v>80</v>
      </c>
      <c r="B42" s="164" t="s">
        <v>81</v>
      </c>
      <c r="C42" s="349" t="s">
        <v>25</v>
      </c>
      <c r="D42" s="177" t="s">
        <v>25</v>
      </c>
      <c r="E42" s="353" t="s">
        <v>27</v>
      </c>
      <c r="F42" s="177" t="s">
        <v>26</v>
      </c>
      <c r="G42" s="354" t="s">
        <v>80</v>
      </c>
      <c r="H42" s="239" t="s">
        <v>81</v>
      </c>
      <c r="I42" s="355" t="s">
        <v>25</v>
      </c>
      <c r="J42" s="356" t="s">
        <v>25</v>
      </c>
      <c r="K42" s="357" t="s">
        <v>27</v>
      </c>
      <c r="L42" s="358" t="s">
        <v>26</v>
      </c>
    </row>
    <row r="43" spans="1:12" ht="9.9499999999999993" customHeight="1">
      <c r="A43" s="241" t="str">
        <f ca="1">'Sieve Data'!O3</f>
        <v>6.00"</v>
      </c>
      <c r="B43" s="366">
        <f ca="1">'Sieve Data'!P3</f>
        <v>150</v>
      </c>
      <c r="C43" s="152" t="str">
        <f ca="1">'Sieve Data'!S3</f>
        <v/>
      </c>
      <c r="D43" s="364">
        <f ca="1">'Sieve Data'!AB3</f>
        <v>1</v>
      </c>
      <c r="E43" s="152" t="str">
        <f ca="1">IF('Sieve Data'!$AB$1=1,"",'Sieve Data'!AC3)</f>
        <v/>
      </c>
      <c r="F43" s="373" t="str">
        <f ca="1">IF('Sieve Data'!$AB$1=1,"",'Sieve Data'!AD3)</f>
        <v/>
      </c>
      <c r="G43" s="372" t="str">
        <f ca="1">'Sieve Data'!O18</f>
        <v>#4</v>
      </c>
      <c r="H43" s="369">
        <f ca="1">'Sieve Data'!P18</f>
        <v>4.75</v>
      </c>
      <c r="I43" s="152" t="str">
        <f ca="1">'Sieve Data'!S18</f>
        <v/>
      </c>
      <c r="J43" s="153">
        <f ca="1">'Sieve Data'!AB18</f>
        <v>1</v>
      </c>
      <c r="K43" s="152" t="str">
        <f ca="1">IF('Sieve Data'!$AB$1=1,"",'Sieve Data'!AC18)</f>
        <v/>
      </c>
      <c r="L43" s="363" t="str">
        <f ca="1">IF('Sieve Data'!$AB$1=1,"",'Sieve Data'!AD18)</f>
        <v/>
      </c>
    </row>
    <row r="44" spans="1:12" ht="9.9499999999999993" customHeight="1">
      <c r="A44" s="238" t="str">
        <f ca="1">'Sieve Data'!O4</f>
        <v>4.00"</v>
      </c>
      <c r="B44" s="367">
        <f ca="1">'Sieve Data'!P4</f>
        <v>100</v>
      </c>
      <c r="C44" s="154" t="str">
        <f ca="1">'Sieve Data'!S4</f>
        <v/>
      </c>
      <c r="D44" s="365">
        <f ca="1">'Sieve Data'!AB4</f>
        <v>1</v>
      </c>
      <c r="E44" s="154" t="str">
        <f ca="1">IF('Sieve Data'!$AB$1=1,"",'Sieve Data'!AC4)</f>
        <v/>
      </c>
      <c r="F44" s="374" t="str">
        <f ca="1">IF('Sieve Data'!$AB$1=1,"",'Sieve Data'!AD4)</f>
        <v/>
      </c>
      <c r="G44" s="240" t="str">
        <f ca="1">'Sieve Data'!O19</f>
        <v>#8</v>
      </c>
      <c r="H44" s="242">
        <f ca="1">'Sieve Data'!P19</f>
        <v>2.36</v>
      </c>
      <c r="I44" s="154" t="str">
        <f ca="1">'Sieve Data'!S19</f>
        <v/>
      </c>
      <c r="J44" s="155">
        <f ca="1">'Sieve Data'!AB19</f>
        <v>1</v>
      </c>
      <c r="K44" s="154" t="str">
        <f ca="1">IF('Sieve Data'!$AB$1=1,"",'Sieve Data'!AC19)</f>
        <v/>
      </c>
      <c r="L44" s="368" t="str">
        <f ca="1">IF('Sieve Data'!$AB$1=1,"",'Sieve Data'!AD19)</f>
        <v/>
      </c>
    </row>
    <row r="45" spans="1:12" ht="9.9499999999999993" customHeight="1">
      <c r="A45" s="238" t="str">
        <f ca="1">'Sieve Data'!O5</f>
        <v>3.00"</v>
      </c>
      <c r="B45" s="367">
        <f ca="1">'Sieve Data'!P5</f>
        <v>75</v>
      </c>
      <c r="C45" s="154" t="str">
        <f ca="1">'Sieve Data'!S5</f>
        <v/>
      </c>
      <c r="D45" s="365">
        <f ca="1">'Sieve Data'!AB5</f>
        <v>1</v>
      </c>
      <c r="E45" s="154" t="str">
        <f ca="1">IF('Sieve Data'!$AB$1=1,"",'Sieve Data'!AC5)</f>
        <v/>
      </c>
      <c r="F45" s="374" t="str">
        <f ca="1">IF('Sieve Data'!$AB$1=1,"",'Sieve Data'!AD5)</f>
        <v/>
      </c>
      <c r="G45" s="240" t="str">
        <f ca="1">'Sieve Data'!O20</f>
        <v>#10</v>
      </c>
      <c r="H45" s="242">
        <f ca="1">'Sieve Data'!P20</f>
        <v>2</v>
      </c>
      <c r="I45" s="154" t="str">
        <f ca="1">'Sieve Data'!S20</f>
        <v/>
      </c>
      <c r="J45" s="155">
        <f ca="1">'Sieve Data'!AB20</f>
        <v>1</v>
      </c>
      <c r="K45" s="154" t="str">
        <f ca="1">IF('Sieve Data'!$AB$1=1,"",'Sieve Data'!AC20)</f>
        <v/>
      </c>
      <c r="L45" s="368" t="str">
        <f ca="1">IF('Sieve Data'!$AB$1=1,"",'Sieve Data'!AD20)</f>
        <v/>
      </c>
    </row>
    <row r="46" spans="1:12" ht="9.9499999999999993" customHeight="1">
      <c r="A46" s="238" t="str">
        <f ca="1">'Sieve Data'!O6</f>
        <v>2.50"</v>
      </c>
      <c r="B46" s="367">
        <f ca="1">'Sieve Data'!P6</f>
        <v>63</v>
      </c>
      <c r="C46" s="154" t="str">
        <f ca="1">'Sieve Data'!S6</f>
        <v/>
      </c>
      <c r="D46" s="365">
        <f ca="1">'Sieve Data'!AB6</f>
        <v>1</v>
      </c>
      <c r="E46" s="154" t="str">
        <f ca="1">IF('Sieve Data'!$AB$1=1,"",'Sieve Data'!AC6)</f>
        <v/>
      </c>
      <c r="F46" s="374" t="str">
        <f ca="1">IF('Sieve Data'!$AB$1=1,"",'Sieve Data'!AD6)</f>
        <v/>
      </c>
      <c r="G46" s="240" t="str">
        <f ca="1">'Sieve Data'!O21</f>
        <v>#16</v>
      </c>
      <c r="H46" s="242">
        <f ca="1">'Sieve Data'!P21</f>
        <v>1.18</v>
      </c>
      <c r="I46" s="154" t="str">
        <f ca="1">'Sieve Data'!S21</f>
        <v/>
      </c>
      <c r="J46" s="155">
        <f ca="1">'Sieve Data'!AB21</f>
        <v>1</v>
      </c>
      <c r="K46" s="154" t="str">
        <f ca="1">IF('Sieve Data'!$AB$1=1,"",'Sieve Data'!AC21)</f>
        <v/>
      </c>
      <c r="L46" s="368" t="str">
        <f ca="1">IF('Sieve Data'!$AB$1=1,"",'Sieve Data'!AD21)</f>
        <v/>
      </c>
    </row>
    <row r="47" spans="1:12" ht="9.9499999999999993" customHeight="1">
      <c r="A47" s="238" t="str">
        <f ca="1">'Sieve Data'!O7</f>
        <v>2.00"</v>
      </c>
      <c r="B47" s="367">
        <f ca="1">'Sieve Data'!P7</f>
        <v>50</v>
      </c>
      <c r="C47" s="154" t="str">
        <f ca="1">'Sieve Data'!S7</f>
        <v/>
      </c>
      <c r="D47" s="365">
        <f ca="1">'Sieve Data'!AB7</f>
        <v>1</v>
      </c>
      <c r="E47" s="154" t="str">
        <f ca="1">IF('Sieve Data'!$AB$1=1,"",'Sieve Data'!AC7)</f>
        <v/>
      </c>
      <c r="F47" s="374" t="str">
        <f ca="1">IF('Sieve Data'!$AB$1=1,"",'Sieve Data'!AD7)</f>
        <v/>
      </c>
      <c r="G47" s="240" t="str">
        <f ca="1">'Sieve Data'!O22</f>
        <v>#20</v>
      </c>
      <c r="H47" s="242">
        <f ca="1">'Sieve Data'!P22</f>
        <v>0.85</v>
      </c>
      <c r="I47" s="154" t="str">
        <f ca="1">'Sieve Data'!S22</f>
        <v/>
      </c>
      <c r="J47" s="155">
        <f ca="1">'Sieve Data'!AB22</f>
        <v>1</v>
      </c>
      <c r="K47" s="154" t="str">
        <f ca="1">IF('Sieve Data'!$AB$1=1,"",'Sieve Data'!AC22)</f>
        <v/>
      </c>
      <c r="L47" s="368" t="str">
        <f ca="1">IF('Sieve Data'!$AB$1=1,"",'Sieve Data'!AD22)</f>
        <v/>
      </c>
    </row>
    <row r="48" spans="1:12" ht="9.9499999999999993" customHeight="1">
      <c r="A48" s="238" t="str">
        <f ca="1">'Sieve Data'!O8</f>
        <v>1.75"</v>
      </c>
      <c r="B48" s="367">
        <f ca="1">'Sieve Data'!P8</f>
        <v>45</v>
      </c>
      <c r="C48" s="154" t="str">
        <f ca="1">'Sieve Data'!S8</f>
        <v/>
      </c>
      <c r="D48" s="365">
        <f ca="1">'Sieve Data'!AB8</f>
        <v>1</v>
      </c>
      <c r="E48" s="154" t="str">
        <f ca="1">IF('Sieve Data'!$AB$1=1,"",'Sieve Data'!AC8)</f>
        <v/>
      </c>
      <c r="F48" s="374" t="str">
        <f ca="1">IF('Sieve Data'!$AB$1=1,"",'Sieve Data'!AD8)</f>
        <v/>
      </c>
      <c r="G48" s="240" t="str">
        <f ca="1">'Sieve Data'!O23</f>
        <v>#30</v>
      </c>
      <c r="H48" s="242">
        <f ca="1">'Sieve Data'!P23</f>
        <v>0.6</v>
      </c>
      <c r="I48" s="154" t="str">
        <f ca="1">'Sieve Data'!S23</f>
        <v/>
      </c>
      <c r="J48" s="155">
        <f ca="1">'Sieve Data'!AB23</f>
        <v>1</v>
      </c>
      <c r="K48" s="154" t="str">
        <f ca="1">IF('Sieve Data'!$AB$1=1,"",'Sieve Data'!AC23)</f>
        <v/>
      </c>
      <c r="L48" s="368" t="str">
        <f ca="1">IF('Sieve Data'!$AB$1=1,"",'Sieve Data'!AD23)</f>
        <v/>
      </c>
    </row>
    <row r="49" spans="1:12" ht="9.9499999999999993" customHeight="1">
      <c r="A49" s="238" t="str">
        <f ca="1">'Sieve Data'!O9</f>
        <v>1.50"</v>
      </c>
      <c r="B49" s="367">
        <f ca="1">'Sieve Data'!P9</f>
        <v>37.5</v>
      </c>
      <c r="C49" s="154" t="str">
        <f ca="1">'Sieve Data'!S9</f>
        <v/>
      </c>
      <c r="D49" s="365">
        <f ca="1">'Sieve Data'!AB9</f>
        <v>1</v>
      </c>
      <c r="E49" s="154" t="str">
        <f ca="1">IF('Sieve Data'!$AB$1=1,"",'Sieve Data'!AC9)</f>
        <v/>
      </c>
      <c r="F49" s="374" t="str">
        <f ca="1">IF('Sieve Data'!$AB$1=1,"",'Sieve Data'!AD9)</f>
        <v/>
      </c>
      <c r="G49" s="240" t="str">
        <f ca="1">'Sieve Data'!O24</f>
        <v>#40</v>
      </c>
      <c r="H49" s="242">
        <f ca="1">'Sieve Data'!P24</f>
        <v>0.42499999999999999</v>
      </c>
      <c r="I49" s="154" t="str">
        <f ca="1">'Sieve Data'!S24</f>
        <v/>
      </c>
      <c r="J49" s="155">
        <f ca="1">'Sieve Data'!AB24</f>
        <v>1</v>
      </c>
      <c r="K49" s="154" t="str">
        <f ca="1">IF('Sieve Data'!$AB$1=1,"",'Sieve Data'!AC24)</f>
        <v/>
      </c>
      <c r="L49" s="368" t="str">
        <f ca="1">IF('Sieve Data'!$AB$1=1,"",'Sieve Data'!AD24)</f>
        <v/>
      </c>
    </row>
    <row r="50" spans="1:12" ht="9.9499999999999993" customHeight="1">
      <c r="A50" s="238" t="str">
        <f ca="1">'Sieve Data'!O10</f>
        <v>1.25"</v>
      </c>
      <c r="B50" s="367">
        <f ca="1">'Sieve Data'!P10</f>
        <v>31.5</v>
      </c>
      <c r="C50" s="154" t="str">
        <f ca="1">'Sieve Data'!S10</f>
        <v/>
      </c>
      <c r="D50" s="365">
        <f ca="1">'Sieve Data'!AB10</f>
        <v>1</v>
      </c>
      <c r="E50" s="154" t="str">
        <f ca="1">IF('Sieve Data'!$AB$1=1,"",'Sieve Data'!AC10)</f>
        <v/>
      </c>
      <c r="F50" s="374" t="str">
        <f ca="1">IF('Sieve Data'!$AB$1=1,"",'Sieve Data'!AD10)</f>
        <v/>
      </c>
      <c r="G50" s="240" t="str">
        <f ca="1">'Sieve Data'!O25</f>
        <v>#50</v>
      </c>
      <c r="H50" s="242">
        <f ca="1">'Sieve Data'!P25</f>
        <v>0.3</v>
      </c>
      <c r="I50" s="154" t="str">
        <f ca="1">'Sieve Data'!S25</f>
        <v/>
      </c>
      <c r="J50" s="155">
        <f ca="1">'Sieve Data'!AB25</f>
        <v>1</v>
      </c>
      <c r="K50" s="154" t="str">
        <f ca="1">IF('Sieve Data'!$AB$1=1,"",'Sieve Data'!AC25)</f>
        <v/>
      </c>
      <c r="L50" s="368" t="str">
        <f ca="1">IF('Sieve Data'!$AB$1=1,"",'Sieve Data'!AD25)</f>
        <v/>
      </c>
    </row>
    <row r="51" spans="1:12" ht="9.9499999999999993" customHeight="1">
      <c r="A51" s="238" t="str">
        <f ca="1">'Sieve Data'!O11</f>
        <v>1.00"</v>
      </c>
      <c r="B51" s="367">
        <f ca="1">'Sieve Data'!P11</f>
        <v>25</v>
      </c>
      <c r="C51" s="154" t="str">
        <f ca="1">'Sieve Data'!S11</f>
        <v/>
      </c>
      <c r="D51" s="365">
        <f ca="1">'Sieve Data'!AB11</f>
        <v>1</v>
      </c>
      <c r="E51" s="154" t="str">
        <f ca="1">IF('Sieve Data'!$AB$1=1,"",'Sieve Data'!AC11)</f>
        <v/>
      </c>
      <c r="F51" s="374" t="str">
        <f ca="1">IF('Sieve Data'!$AB$1=1,"",'Sieve Data'!AD11)</f>
        <v/>
      </c>
      <c r="G51" s="240" t="str">
        <f ca="1">'Sieve Data'!O26</f>
        <v>#60</v>
      </c>
      <c r="H51" s="242">
        <f ca="1">'Sieve Data'!P26</f>
        <v>0.25</v>
      </c>
      <c r="I51" s="154" t="str">
        <f ca="1">'Sieve Data'!S26</f>
        <v/>
      </c>
      <c r="J51" s="155">
        <f ca="1">'Sieve Data'!AB26</f>
        <v>1</v>
      </c>
      <c r="K51" s="154" t="str">
        <f ca="1">IF('Sieve Data'!$AB$1=1,"",'Sieve Data'!AC26)</f>
        <v/>
      </c>
      <c r="L51" s="368" t="str">
        <f ca="1">IF('Sieve Data'!$AB$1=1,"",'Sieve Data'!AD26)</f>
        <v/>
      </c>
    </row>
    <row r="52" spans="1:12" ht="9.9499999999999993" customHeight="1">
      <c r="A52" s="238" t="str">
        <f ca="1">'Sieve Data'!O12</f>
        <v>7/8"</v>
      </c>
      <c r="B52" s="367">
        <f ca="1">'Sieve Data'!P12</f>
        <v>22.4</v>
      </c>
      <c r="C52" s="154" t="str">
        <f ca="1">'Sieve Data'!S12</f>
        <v/>
      </c>
      <c r="D52" s="365">
        <f ca="1">'Sieve Data'!AB12</f>
        <v>1</v>
      </c>
      <c r="E52" s="154" t="str">
        <f ca="1">IF('Sieve Data'!$AB$1=1,"",'Sieve Data'!AC12)</f>
        <v/>
      </c>
      <c r="F52" s="374" t="str">
        <f ca="1">IF('Sieve Data'!$AB$1=1,"",'Sieve Data'!AD12)</f>
        <v/>
      </c>
      <c r="G52" s="240" t="str">
        <f ca="1">'Sieve Data'!O27</f>
        <v>#80</v>
      </c>
      <c r="H52" s="242">
        <f ca="1">'Sieve Data'!P27</f>
        <v>0.18</v>
      </c>
      <c r="I52" s="154" t="str">
        <f ca="1">'Sieve Data'!S27</f>
        <v/>
      </c>
      <c r="J52" s="155">
        <f ca="1">'Sieve Data'!AB27</f>
        <v>1</v>
      </c>
      <c r="K52" s="154" t="str">
        <f ca="1">IF('Sieve Data'!$AB$1=1,"",'Sieve Data'!AC27)</f>
        <v/>
      </c>
      <c r="L52" s="368" t="str">
        <f ca="1">IF('Sieve Data'!$AB$1=1,"",'Sieve Data'!AD27)</f>
        <v/>
      </c>
    </row>
    <row r="53" spans="1:12" ht="9.9499999999999993" customHeight="1">
      <c r="A53" s="238" t="str">
        <f ca="1">'Sieve Data'!O13</f>
        <v>3/4"</v>
      </c>
      <c r="B53" s="367">
        <f ca="1">'Sieve Data'!P13</f>
        <v>19</v>
      </c>
      <c r="C53" s="154" t="str">
        <f ca="1">'Sieve Data'!S13</f>
        <v/>
      </c>
      <c r="D53" s="365">
        <f ca="1">'Sieve Data'!AB13</f>
        <v>1</v>
      </c>
      <c r="E53" s="154" t="str">
        <f ca="1">IF('Sieve Data'!$AB$1=1,"",'Sieve Data'!AC13)</f>
        <v/>
      </c>
      <c r="F53" s="374" t="str">
        <f ca="1">IF('Sieve Data'!$AB$1=1,"",'Sieve Data'!AD13)</f>
        <v/>
      </c>
      <c r="G53" s="240" t="str">
        <f ca="1">'Sieve Data'!O28</f>
        <v>#100</v>
      </c>
      <c r="H53" s="242">
        <f ca="1">'Sieve Data'!P28</f>
        <v>0.15</v>
      </c>
      <c r="I53" s="154" t="str">
        <f ca="1">'Sieve Data'!S28</f>
        <v/>
      </c>
      <c r="J53" s="155">
        <f ca="1">'Sieve Data'!AB28</f>
        <v>1</v>
      </c>
      <c r="K53" s="154" t="str">
        <f ca="1">IF('Sieve Data'!$AB$1=1,"",'Sieve Data'!AC28)</f>
        <v/>
      </c>
      <c r="L53" s="368" t="str">
        <f ca="1">IF('Sieve Data'!$AB$1=1,"",'Sieve Data'!AD28)</f>
        <v/>
      </c>
    </row>
    <row r="54" spans="1:12" ht="9.9499999999999993" customHeight="1">
      <c r="A54" s="238" t="str">
        <f ca="1">'Sieve Data'!O14</f>
        <v>5/8"</v>
      </c>
      <c r="B54" s="367">
        <f ca="1">'Sieve Data'!P14</f>
        <v>16</v>
      </c>
      <c r="C54" s="154" t="str">
        <f ca="1">'Sieve Data'!S14</f>
        <v/>
      </c>
      <c r="D54" s="365">
        <f ca="1">'Sieve Data'!AB14</f>
        <v>1</v>
      </c>
      <c r="E54" s="154" t="str">
        <f ca="1">IF('Sieve Data'!$AB$1=1,"",'Sieve Data'!AC14)</f>
        <v/>
      </c>
      <c r="F54" s="374" t="str">
        <f ca="1">IF('Sieve Data'!$AB$1=1,"",'Sieve Data'!AD14)</f>
        <v/>
      </c>
      <c r="G54" s="240" t="str">
        <f ca="1">'Sieve Data'!O29</f>
        <v>#140</v>
      </c>
      <c r="H54" s="242">
        <f ca="1">'Sieve Data'!P29</f>
        <v>0.106</v>
      </c>
      <c r="I54" s="154" t="str">
        <f ca="1">'Sieve Data'!S29</f>
        <v/>
      </c>
      <c r="J54" s="155">
        <f ca="1">'Sieve Data'!AB29</f>
        <v>1</v>
      </c>
      <c r="K54" s="154" t="str">
        <f ca="1">IF('Sieve Data'!$AB$1=1,"",'Sieve Data'!AC29)</f>
        <v/>
      </c>
      <c r="L54" s="368" t="str">
        <f ca="1">IF('Sieve Data'!$AB$1=1,"",'Sieve Data'!AD29)</f>
        <v/>
      </c>
    </row>
    <row r="55" spans="1:12" ht="9.9499999999999993" customHeight="1">
      <c r="A55" s="238" t="str">
        <f ca="1">'Sieve Data'!O15</f>
        <v>1/2"</v>
      </c>
      <c r="B55" s="367">
        <f ca="1">'Sieve Data'!P15</f>
        <v>12.5</v>
      </c>
      <c r="C55" s="154" t="str">
        <f ca="1">'Sieve Data'!S15</f>
        <v/>
      </c>
      <c r="D55" s="365">
        <f ca="1">'Sieve Data'!AB15</f>
        <v>1</v>
      </c>
      <c r="E55" s="154" t="str">
        <f ca="1">IF('Sieve Data'!$AB$1=1,"",'Sieve Data'!AC15)</f>
        <v/>
      </c>
      <c r="F55" s="374" t="str">
        <f ca="1">IF('Sieve Data'!$AB$1=1,"",'Sieve Data'!AD15)</f>
        <v/>
      </c>
      <c r="G55" s="240" t="str">
        <f ca="1">'Sieve Data'!O30</f>
        <v>#170</v>
      </c>
      <c r="H55" s="242">
        <f ca="1">'Sieve Data'!P30</f>
        <v>0.09</v>
      </c>
      <c r="I55" s="154" t="str">
        <f ca="1">'Sieve Data'!S30</f>
        <v/>
      </c>
      <c r="J55" s="155">
        <f ca="1">'Sieve Data'!AB30</f>
        <v>1</v>
      </c>
      <c r="K55" s="154" t="str">
        <f ca="1">IF('Sieve Data'!$AB$1=1,"",'Sieve Data'!AC30)</f>
        <v/>
      </c>
      <c r="L55" s="368" t="str">
        <f ca="1">IF('Sieve Data'!$AB$1=1,"",'Sieve Data'!AD30)</f>
        <v/>
      </c>
    </row>
    <row r="56" spans="1:12" ht="9.9499999999999993" customHeight="1">
      <c r="A56" s="238" t="str">
        <f ca="1">'Sieve Data'!O16</f>
        <v>3/8"</v>
      </c>
      <c r="B56" s="367">
        <f ca="1">'Sieve Data'!P16</f>
        <v>9.5</v>
      </c>
      <c r="C56" s="154" t="str">
        <f ca="1">'Sieve Data'!S16</f>
        <v/>
      </c>
      <c r="D56" s="365">
        <f ca="1">'Sieve Data'!AB16</f>
        <v>1</v>
      </c>
      <c r="E56" s="154" t="str">
        <f ca="1">IF('Sieve Data'!$AB$1=1,"",'Sieve Data'!AC16)</f>
        <v/>
      </c>
      <c r="F56" s="374" t="str">
        <f ca="1">IF('Sieve Data'!$AB$1=1,"",'Sieve Data'!AD16)</f>
        <v/>
      </c>
      <c r="G56" s="240" t="str">
        <f ca="1">'Sieve Data'!O31</f>
        <v>#200</v>
      </c>
      <c r="H56" s="242">
        <f ca="1">'Sieve Data'!P31</f>
        <v>7.4999999999999997E-2</v>
      </c>
      <c r="I56" s="154" t="str">
        <f ca="1">'Sieve Data'!S31</f>
        <v/>
      </c>
      <c r="J56" s="155">
        <f ca="1">'Sieve Data'!AB31</f>
        <v>1</v>
      </c>
      <c r="K56" s="154" t="str">
        <f ca="1">IF('Sieve Data'!$AB$1=1,"",'Sieve Data'!AC31)</f>
        <v/>
      </c>
      <c r="L56" s="368" t="str">
        <f ca="1">IF('Sieve Data'!$AB$1=1,"",'Sieve Data'!AD31)</f>
        <v/>
      </c>
    </row>
    <row r="57" spans="1:12" ht="9.9499999999999993" customHeight="1">
      <c r="A57" s="238" t="str">
        <f ca="1">'Sieve Data'!O17</f>
        <v>1/4"</v>
      </c>
      <c r="B57" s="367">
        <f ca="1">'Sieve Data'!P17</f>
        <v>6.3</v>
      </c>
      <c r="C57" s="154" t="str">
        <f ca="1">'Sieve Data'!S17</f>
        <v/>
      </c>
      <c r="D57" s="365">
        <f ca="1">'Sieve Data'!AB17</f>
        <v>1</v>
      </c>
      <c r="E57" s="154" t="str">
        <f ca="1">IF('Sieve Data'!$AB$1=1,"",'Sieve Data'!AC17)</f>
        <v/>
      </c>
      <c r="F57" s="374" t="str">
        <f ca="1">IF('Sieve Data'!$AB$1=1,"",'Sieve Data'!AD17)</f>
        <v/>
      </c>
      <c r="G57" s="240" t="s">
        <v>461</v>
      </c>
      <c r="H57" s="242">
        <v>5.2999999999999999E-2</v>
      </c>
      <c r="I57" s="377"/>
      <c r="J57" s="378"/>
      <c r="K57" s="377"/>
      <c r="L57" s="379"/>
    </row>
    <row r="58" spans="1:12" ht="9.9499999999999993" customHeight="1">
      <c r="A58" s="238" t="str">
        <f ca="1">'Sieve Data'!O18</f>
        <v>#4</v>
      </c>
      <c r="B58" s="367">
        <f ca="1">'Sieve Data'!P18</f>
        <v>4.75</v>
      </c>
      <c r="C58" s="154" t="str">
        <f ca="1">'Sieve Data'!S18</f>
        <v/>
      </c>
      <c r="D58" s="365">
        <f ca="1">'Sieve Data'!AB18</f>
        <v>1</v>
      </c>
      <c r="E58" s="154" t="str">
        <f ca="1">IF('Sieve Data'!$AB$1=1,"",'Sieve Data'!AC18)</f>
        <v/>
      </c>
      <c r="F58" s="374" t="str">
        <f ca="1">IF('Sieve Data'!$AB$1=1,"",'Sieve Data'!AD18)</f>
        <v/>
      </c>
      <c r="G58" s="240"/>
      <c r="H58" s="240"/>
      <c r="I58" s="154"/>
      <c r="J58" s="155"/>
      <c r="K58" s="154"/>
      <c r="L58" s="156"/>
    </row>
    <row r="59" spans="1:12" ht="9" customHeight="1" thickBot="1">
      <c r="A59" s="420"/>
      <c r="B59" s="421"/>
      <c r="C59" s="421"/>
      <c r="D59" s="421"/>
      <c r="E59" s="421"/>
      <c r="F59" s="422"/>
      <c r="G59" s="370" t="s">
        <v>0</v>
      </c>
      <c r="H59" s="371" t="s">
        <v>474</v>
      </c>
      <c r="I59" s="344"/>
      <c r="J59" s="345"/>
      <c r="K59" s="344"/>
      <c r="L59" s="346"/>
    </row>
    <row r="60" spans="1:12" ht="9.9499999999999993" customHeight="1" thickTop="1"/>
  </sheetData>
  <sheetProtection sheet="1" objects="1" scenarios="1"/>
  <phoneticPr fontId="35" type="noConversion"/>
  <printOptions horizontalCentered="1" verticalCentered="1" gridLinesSet="0"/>
  <pageMargins left="0.25" right="0.25" top="0.5" bottom="0.5" header="0.5" footer="0.5"/>
  <pageSetup orientation="portrait" horizont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7"/>
  <sheetViews>
    <sheetView showGridLines="0" workbookViewId="0">
      <selection activeCell="C7" sqref="C7:F8"/>
    </sheetView>
  </sheetViews>
  <sheetFormatPr defaultRowHeight="12.75"/>
  <cols>
    <col min="1" max="1" width="9.140625" style="312"/>
    <col min="2" max="2" width="22.28515625" style="309" customWidth="1"/>
    <col min="3" max="16384" width="9.140625" style="309"/>
  </cols>
  <sheetData>
    <row r="1" spans="1:8">
      <c r="B1" s="315" t="s">
        <v>2</v>
      </c>
      <c r="C1" s="316" t="str">
        <f ca="1">IF('Sieve Data'!H2="","",'Sieve Data'!H2)</f>
        <v/>
      </c>
      <c r="D1" s="317"/>
      <c r="E1" s="310" t="s">
        <v>456</v>
      </c>
      <c r="F1" s="316" t="str">
        <f ca="1">IF('Sieve Data'!K2="","",'Sieve Data'!K2)</f>
        <v/>
      </c>
    </row>
    <row r="2" spans="1:8">
      <c r="B2" s="315" t="s">
        <v>4</v>
      </c>
      <c r="C2" s="316" t="str">
        <f ca="1">IF('Sieve Data'!H3="","",'Sieve Data'!H3)</f>
        <v/>
      </c>
      <c r="D2" s="317"/>
      <c r="E2" s="310" t="s">
        <v>473</v>
      </c>
      <c r="F2" s="316" t="str">
        <f ca="1">IF('Sieve Data'!K3="","",'Sieve Data'!K3)</f>
        <v/>
      </c>
    </row>
    <row r="3" spans="1:8">
      <c r="B3" s="315" t="s">
        <v>6</v>
      </c>
      <c r="C3" s="316" t="str">
        <f ca="1">IF('Sieve Data'!H4="","",'Sieve Data'!H4)</f>
        <v/>
      </c>
      <c r="D3" s="317"/>
      <c r="E3" s="310" t="s">
        <v>458</v>
      </c>
      <c r="F3" s="428" t="str">
        <f ca="1">IF('Sieve Data'!K4="","",'Sieve Data'!K4)</f>
        <v/>
      </c>
    </row>
    <row r="4" spans="1:8">
      <c r="B4" s="318" t="s">
        <v>9</v>
      </c>
      <c r="C4" s="316" t="str">
        <f ca="1">IF('Sieve Data'!H5="","",'Sieve Data'!H5)</f>
        <v/>
      </c>
      <c r="D4" s="317"/>
      <c r="E4" s="310" t="s">
        <v>460</v>
      </c>
      <c r="F4" s="428" t="str">
        <f ca="1">IF('Sieve Data'!K5="","",'Sieve Data'!K5)</f>
        <v/>
      </c>
    </row>
    <row r="5" spans="1:8">
      <c r="B5" s="318"/>
      <c r="C5" s="316"/>
      <c r="D5" s="317"/>
      <c r="E5" s="310"/>
      <c r="F5" s="428"/>
    </row>
    <row r="6" spans="1:8" s="312" customFormat="1">
      <c r="A6" s="305"/>
      <c r="B6" s="429"/>
      <c r="C6" s="429" t="s">
        <v>222</v>
      </c>
      <c r="D6" s="429" t="s">
        <v>223</v>
      </c>
      <c r="E6" s="429" t="s">
        <v>224</v>
      </c>
      <c r="F6" s="429" t="s">
        <v>48</v>
      </c>
      <c r="G6" s="429" t="s">
        <v>225</v>
      </c>
      <c r="H6" s="429" t="s">
        <v>226</v>
      </c>
    </row>
    <row r="7" spans="1:8">
      <c r="A7" s="310" t="s">
        <v>412</v>
      </c>
      <c r="B7" s="305" t="s">
        <v>413</v>
      </c>
      <c r="C7" s="432">
        <v>6349.4</v>
      </c>
      <c r="D7" s="432">
        <v>6412</v>
      </c>
      <c r="E7" s="432">
        <v>6525</v>
      </c>
      <c r="F7" s="432">
        <v>6475</v>
      </c>
      <c r="G7" s="432"/>
      <c r="H7" s="432"/>
    </row>
    <row r="8" spans="1:8">
      <c r="A8" s="310" t="s">
        <v>414</v>
      </c>
      <c r="B8" s="305" t="s">
        <v>415</v>
      </c>
      <c r="C8" s="432">
        <v>4237.8999999999996</v>
      </c>
      <c r="D8" s="432">
        <f>IF(D7="","",C8)</f>
        <v>4237.8999999999996</v>
      </c>
      <c r="E8" s="432">
        <f>IF(E7="","",D8)</f>
        <v>4237.8999999999996</v>
      </c>
      <c r="F8" s="432">
        <f>IF(F7="","",E8)</f>
        <v>4237.8999999999996</v>
      </c>
      <c r="G8" s="432"/>
      <c r="H8" s="432"/>
    </row>
    <row r="9" spans="1:8">
      <c r="A9" s="310" t="s">
        <v>416</v>
      </c>
      <c r="B9" s="305" t="s">
        <v>434</v>
      </c>
      <c r="C9" s="290">
        <f t="shared" ref="C9:H9" si="0">C7-C8</f>
        <v>2111.5</v>
      </c>
      <c r="D9" s="290">
        <f t="shared" si="0"/>
        <v>2174.1000000000004</v>
      </c>
      <c r="E9" s="290">
        <f t="shared" si="0"/>
        <v>2287.1000000000004</v>
      </c>
      <c r="F9" s="290">
        <f t="shared" si="0"/>
        <v>2237.1000000000004</v>
      </c>
      <c r="G9" s="290">
        <f t="shared" si="0"/>
        <v>0</v>
      </c>
      <c r="H9" s="290">
        <f t="shared" si="0"/>
        <v>0</v>
      </c>
    </row>
    <row r="10" spans="1:8">
      <c r="A10" s="310" t="s">
        <v>417</v>
      </c>
      <c r="B10" s="305" t="s">
        <v>435</v>
      </c>
      <c r="C10" s="311">
        <f t="shared" ref="C10:H10" si="1">C9*$C$20</f>
        <v>139.57015000000001</v>
      </c>
      <c r="D10" s="311">
        <f t="shared" si="1"/>
        <v>143.70801000000003</v>
      </c>
      <c r="E10" s="311">
        <f t="shared" si="1"/>
        <v>151.17731000000003</v>
      </c>
      <c r="F10" s="311">
        <f t="shared" si="1"/>
        <v>147.87231000000003</v>
      </c>
      <c r="G10" s="311">
        <f t="shared" si="1"/>
        <v>0</v>
      </c>
      <c r="H10" s="311">
        <f t="shared" si="1"/>
        <v>0</v>
      </c>
    </row>
    <row r="11" spans="1:8">
      <c r="A11" s="305"/>
      <c r="B11" s="312"/>
    </row>
    <row r="12" spans="1:8">
      <c r="A12" s="310" t="s">
        <v>418</v>
      </c>
      <c r="B12" s="305" t="s">
        <v>419</v>
      </c>
      <c r="C12" s="433">
        <v>703.9</v>
      </c>
      <c r="D12" s="433">
        <v>711.3</v>
      </c>
      <c r="E12" s="433">
        <v>509.4</v>
      </c>
      <c r="F12" s="433">
        <v>655</v>
      </c>
      <c r="G12" s="433"/>
      <c r="H12" s="433"/>
    </row>
    <row r="13" spans="1:8">
      <c r="A13" s="310" t="s">
        <v>420</v>
      </c>
      <c r="B13" s="305" t="s">
        <v>421</v>
      </c>
      <c r="C13" s="433">
        <v>675.6</v>
      </c>
      <c r="D13" s="433">
        <v>676.8</v>
      </c>
      <c r="E13" s="433">
        <v>478</v>
      </c>
      <c r="F13" s="433">
        <v>599.29999999999995</v>
      </c>
      <c r="G13" s="433"/>
      <c r="H13" s="433"/>
    </row>
    <row r="14" spans="1:8">
      <c r="A14" s="310" t="s">
        <v>422</v>
      </c>
      <c r="B14" s="305" t="s">
        <v>423</v>
      </c>
      <c r="C14" s="433">
        <v>229.4</v>
      </c>
      <c r="D14" s="433">
        <v>224.5</v>
      </c>
      <c r="E14" s="433">
        <v>112.9</v>
      </c>
      <c r="F14" s="433">
        <v>115.7</v>
      </c>
      <c r="G14" s="433"/>
      <c r="H14" s="433"/>
    </row>
    <row r="15" spans="1:8">
      <c r="A15" s="310" t="s">
        <v>424</v>
      </c>
      <c r="B15" s="305" t="s">
        <v>436</v>
      </c>
      <c r="C15" s="311">
        <f t="shared" ref="C15:H16" si="2">C12-C13</f>
        <v>28.299999999999955</v>
      </c>
      <c r="D15" s="311">
        <f t="shared" si="2"/>
        <v>34.5</v>
      </c>
      <c r="E15" s="311">
        <f t="shared" si="2"/>
        <v>31.399999999999977</v>
      </c>
      <c r="F15" s="311">
        <f t="shared" si="2"/>
        <v>55.700000000000045</v>
      </c>
      <c r="G15" s="311">
        <f t="shared" si="2"/>
        <v>0</v>
      </c>
      <c r="H15" s="311">
        <f t="shared" si="2"/>
        <v>0</v>
      </c>
    </row>
    <row r="16" spans="1:8">
      <c r="A16" s="310" t="s">
        <v>425</v>
      </c>
      <c r="B16" s="305" t="s">
        <v>437</v>
      </c>
      <c r="C16" s="311">
        <f t="shared" si="2"/>
        <v>446.20000000000005</v>
      </c>
      <c r="D16" s="311">
        <f t="shared" si="2"/>
        <v>452.29999999999995</v>
      </c>
      <c r="E16" s="311">
        <f t="shared" si="2"/>
        <v>365.1</v>
      </c>
      <c r="F16" s="311">
        <f t="shared" si="2"/>
        <v>483.59999999999997</v>
      </c>
      <c r="G16" s="311">
        <f t="shared" si="2"/>
        <v>0</v>
      </c>
      <c r="H16" s="311">
        <f t="shared" si="2"/>
        <v>0</v>
      </c>
    </row>
    <row r="17" spans="1:8">
      <c r="A17" s="310" t="s">
        <v>426</v>
      </c>
      <c r="B17" s="305" t="s">
        <v>438</v>
      </c>
      <c r="C17" s="295">
        <f t="shared" ref="C17:H17" si="3">C15/C16</f>
        <v>6.3424473330345024E-2</v>
      </c>
      <c r="D17" s="295">
        <f t="shared" si="3"/>
        <v>7.6276807428697774E-2</v>
      </c>
      <c r="E17" s="295">
        <f t="shared" si="3"/>
        <v>8.6003834565872295E-2</v>
      </c>
      <c r="F17" s="295">
        <f t="shared" si="3"/>
        <v>0.11517783291976851</v>
      </c>
      <c r="G17" s="295" t="e">
        <f t="shared" si="3"/>
        <v>#DIV/0!</v>
      </c>
      <c r="H17" s="295" t="e">
        <f t="shared" si="3"/>
        <v>#DIV/0!</v>
      </c>
    </row>
    <row r="18" spans="1:8">
      <c r="A18" s="310" t="s">
        <v>427</v>
      </c>
      <c r="B18" s="305" t="s">
        <v>439</v>
      </c>
      <c r="C18" s="311">
        <f t="shared" ref="C18:H18" si="4">C10/(1+C17)</f>
        <v>131.24594505795577</v>
      </c>
      <c r="D18" s="311">
        <f t="shared" si="4"/>
        <v>133.52328044987678</v>
      </c>
      <c r="E18" s="311">
        <f t="shared" si="4"/>
        <v>139.20513463051708</v>
      </c>
      <c r="F18" s="311">
        <f t="shared" si="4"/>
        <v>132.59975730762099</v>
      </c>
      <c r="G18" s="311" t="e">
        <f t="shared" si="4"/>
        <v>#DIV/0!</v>
      </c>
      <c r="H18" s="311" t="e">
        <f t="shared" si="4"/>
        <v>#DIV/0!</v>
      </c>
    </row>
    <row r="20" spans="1:8" ht="15.75">
      <c r="B20" s="430" t="s">
        <v>433</v>
      </c>
      <c r="C20" s="431">
        <v>6.6100000000000006E-2</v>
      </c>
    </row>
    <row r="21" spans="1:8">
      <c r="B21" s="314"/>
      <c r="C21" s="314"/>
    </row>
    <row r="22" spans="1:8" ht="15.75">
      <c r="B22" s="444" t="s">
        <v>477</v>
      </c>
    </row>
    <row r="23" spans="1:8" ht="15.75">
      <c r="A23" s="442"/>
      <c r="B23" s="442" t="s">
        <v>428</v>
      </c>
      <c r="C23" s="442" t="s">
        <v>429</v>
      </c>
      <c r="D23" s="443">
        <v>6.6100000000000006E-2</v>
      </c>
    </row>
    <row r="24" spans="1:8" ht="15.75">
      <c r="A24" s="442"/>
      <c r="B24" s="442" t="s">
        <v>430</v>
      </c>
      <c r="C24" s="442" t="s">
        <v>429</v>
      </c>
      <c r="D24" s="443">
        <v>30</v>
      </c>
    </row>
    <row r="25" spans="1:8" ht="15.75">
      <c r="A25" s="442"/>
      <c r="B25" s="442" t="s">
        <v>431</v>
      </c>
      <c r="C25" s="442" t="s">
        <v>429</v>
      </c>
      <c r="D25" s="443">
        <v>2.9399999999999999E-2</v>
      </c>
    </row>
    <row r="26" spans="1:8" ht="15.75">
      <c r="A26" s="442"/>
      <c r="B26" s="442" t="s">
        <v>432</v>
      </c>
      <c r="C26" s="442" t="s">
        <v>429</v>
      </c>
      <c r="D26" s="443">
        <v>13.34</v>
      </c>
    </row>
    <row r="27" spans="1:8">
      <c r="B27" s="157" t="s">
        <v>0</v>
      </c>
      <c r="C27" s="158" t="s">
        <v>474</v>
      </c>
    </row>
  </sheetData>
  <sheetProtection sheet="1" objects="1" scenarios="1"/>
  <phoneticPr fontId="0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40"/>
  <sheetViews>
    <sheetView showGridLines="0" showOutlineSymbols="0" workbookViewId="0">
      <selection activeCell="E4" sqref="E4"/>
    </sheetView>
  </sheetViews>
  <sheetFormatPr defaultRowHeight="11.25" outlineLevelCol="1"/>
  <cols>
    <col min="1" max="1" width="4.7109375" style="147" customWidth="1"/>
    <col min="2" max="4" width="8.7109375" style="147" customWidth="1"/>
    <col min="5" max="5" width="6.7109375" style="147" customWidth="1"/>
    <col min="6" max="8" width="8.7109375" style="147" customWidth="1"/>
    <col min="9" max="9" width="6.7109375" style="147" customWidth="1"/>
    <col min="10" max="11" width="4.7109375" style="147" customWidth="1"/>
    <col min="12" max="12" width="6.7109375" style="237" customWidth="1"/>
    <col min="13" max="14" width="6.7109375" style="147" customWidth="1"/>
    <col min="15" max="15" width="8.7109375" style="147" customWidth="1"/>
    <col min="16" max="19" width="8.7109375" style="164" hidden="1" customWidth="1" outlineLevel="1"/>
    <col min="20" max="20" width="8.7109375" style="147" hidden="1" customWidth="1" outlineLevel="1"/>
    <col min="21" max="23" width="8.7109375" style="164" hidden="1" customWidth="1" outlineLevel="1"/>
    <col min="24" max="24" width="8.7109375" style="147" customWidth="1" collapsed="1"/>
    <col min="25" max="25" width="9.140625" style="147"/>
    <col min="26" max="26" width="6.42578125" style="147" customWidth="1"/>
    <col min="27" max="27" width="3.7109375" style="147" customWidth="1"/>
    <col min="28" max="16384" width="9.140625" style="147"/>
  </cols>
  <sheetData>
    <row r="1" spans="1:33" ht="12.75" thickTop="1" thickBot="1">
      <c r="A1" s="159"/>
      <c r="B1" s="140"/>
      <c r="C1" s="321" t="s">
        <v>2</v>
      </c>
      <c r="D1" s="160" t="str">
        <f ca="1">IF('Sieve Data'!H2="","",'Sieve Data'!H2)</f>
        <v/>
      </c>
      <c r="E1" s="140"/>
      <c r="F1" s="426" t="s">
        <v>456</v>
      </c>
      <c r="G1" s="427" t="str">
        <f ca="1">IF('Sieve Data'!K2="","",'Sieve Data'!K2)</f>
        <v/>
      </c>
      <c r="H1" s="140"/>
      <c r="I1" s="141"/>
      <c r="J1" s="259"/>
      <c r="K1" s="256"/>
      <c r="L1" s="161"/>
      <c r="M1" s="162"/>
      <c r="N1" s="163"/>
      <c r="P1" s="142"/>
      <c r="Q1" s="164" t="s">
        <v>279</v>
      </c>
    </row>
    <row r="2" spans="1:33" ht="12.75">
      <c r="A2" s="165"/>
      <c r="C2" s="144" t="s">
        <v>4</v>
      </c>
      <c r="D2" s="145" t="str">
        <f ca="1">IF('Sieve Data'!H3="","",'Sieve Data'!H3)</f>
        <v/>
      </c>
      <c r="F2" s="149" t="s">
        <v>473</v>
      </c>
      <c r="G2" s="146" t="str">
        <f ca="1">IF('Sieve Data'!K3="","",'Sieve Data'!K3)</f>
        <v/>
      </c>
      <c r="I2" s="148"/>
      <c r="J2" s="197"/>
      <c r="K2" s="197"/>
      <c r="L2" s="166"/>
      <c r="M2" s="167"/>
      <c r="N2" s="168"/>
      <c r="P2" s="169" t="s">
        <v>13</v>
      </c>
      <c r="Q2" s="169" t="s">
        <v>241</v>
      </c>
      <c r="R2" s="169"/>
      <c r="S2" s="169" t="s">
        <v>242</v>
      </c>
      <c r="U2" s="170">
        <v>1</v>
      </c>
      <c r="V2" s="171">
        <f>D14</f>
        <v>6.3424473330345024E-2</v>
      </c>
      <c r="W2" s="172">
        <f>V2^2</f>
        <v>4.022663817231647E-3</v>
      </c>
      <c r="Y2" s="315"/>
      <c r="Z2" s="316"/>
      <c r="AA2" s="317"/>
      <c r="AB2" s="310"/>
    </row>
    <row r="3" spans="1:33" ht="12.75">
      <c r="A3" s="165"/>
      <c r="C3" s="144" t="s">
        <v>6</v>
      </c>
      <c r="D3" s="145" t="str">
        <f ca="1">IF('Sieve Data'!H4="","",'Sieve Data'!H4)</f>
        <v/>
      </c>
      <c r="F3" s="149" t="s">
        <v>458</v>
      </c>
      <c r="G3" s="146" t="str">
        <f ca="1">IF('Sieve Data'!K4="","",'Sieve Data'!K4)</f>
        <v/>
      </c>
      <c r="I3" s="148"/>
      <c r="J3" s="197" t="s">
        <v>18</v>
      </c>
      <c r="K3" s="197" t="s">
        <v>23</v>
      </c>
      <c r="L3" s="166" t="s">
        <v>476</v>
      </c>
      <c r="M3" s="254" t="s">
        <v>237</v>
      </c>
      <c r="N3" s="168"/>
      <c r="P3" s="177">
        <f>MIN($D$14:$D$17)-0.03</f>
        <v>3.3424473330345025E-2</v>
      </c>
      <c r="Q3" s="178">
        <f t="shared" ref="Q3:Q66" si="0">$V$10*P3^2+$V$9*P3+$V$8</f>
        <v>106.75039338858571</v>
      </c>
      <c r="R3" s="178">
        <f>Q3*16.02</f>
        <v>1710.141302085143</v>
      </c>
      <c r="S3" s="179">
        <f t="shared" ref="S3:S66" si="1">(62.43*$B$13)/(P3*$B$13+1)</f>
        <v>162.45050561187341</v>
      </c>
      <c r="U3" s="180">
        <v>1</v>
      </c>
      <c r="V3" s="164">
        <f>D15</f>
        <v>7.6276807428697774E-2</v>
      </c>
      <c r="W3" s="181">
        <f>V3^2</f>
        <v>5.8181513515146435E-3</v>
      </c>
      <c r="Y3" s="315"/>
      <c r="Z3" s="316"/>
      <c r="AA3" s="317"/>
      <c r="AB3" s="310"/>
    </row>
    <row r="4" spans="1:33" ht="12.75">
      <c r="A4" s="165"/>
      <c r="C4" s="149" t="s">
        <v>9</v>
      </c>
      <c r="D4" s="145" t="str">
        <f ca="1">IF('Sieve Data'!H5="","",'Sieve Data'!H5)</f>
        <v/>
      </c>
      <c r="F4" s="149" t="s">
        <v>460</v>
      </c>
      <c r="G4" s="146" t="str">
        <f ca="1">IF('Sieve Data'!K5="","",'Sieve Data'!K5)</f>
        <v/>
      </c>
      <c r="I4" s="148"/>
      <c r="J4" s="197" t="s">
        <v>80</v>
      </c>
      <c r="K4" s="197" t="s">
        <v>56</v>
      </c>
      <c r="L4" s="166" t="str">
        <f ca="1">'Sieve Data'!D16</f>
        <v/>
      </c>
      <c r="M4" s="167" t="s">
        <v>27</v>
      </c>
      <c r="N4" s="168" t="s">
        <v>26</v>
      </c>
      <c r="P4" s="177">
        <f t="shared" ref="P4:P67" si="2">P3+0.001</f>
        <v>3.4424473330345026E-2</v>
      </c>
      <c r="Q4" s="178">
        <f t="shared" si="0"/>
        <v>107.8096069870428</v>
      </c>
      <c r="R4" s="178">
        <f t="shared" ref="R4:R67" si="3">Q4*16.02</f>
        <v>1727.1099039324256</v>
      </c>
      <c r="S4" s="179">
        <f t="shared" si="1"/>
        <v>162.02888660574123</v>
      </c>
      <c r="T4" s="149" t="s">
        <v>244</v>
      </c>
      <c r="U4" s="180">
        <v>1</v>
      </c>
      <c r="V4" s="164">
        <f>D16</f>
        <v>8.6003834565872295E-2</v>
      </c>
      <c r="W4" s="181">
        <f>V4^2</f>
        <v>7.3966595600339297E-3</v>
      </c>
      <c r="Y4" s="315"/>
      <c r="Z4" s="316"/>
      <c r="AA4" s="317"/>
      <c r="AB4" s="310"/>
    </row>
    <row r="5" spans="1:33" ht="13.5" thickBot="1">
      <c r="A5" s="165"/>
      <c r="C5" s="173" t="s">
        <v>243</v>
      </c>
      <c r="D5" s="173"/>
      <c r="I5" s="148"/>
      <c r="J5" s="347" t="str">
        <f ca="1">'Sieve Data'!A11</f>
        <v>6.00"</v>
      </c>
      <c r="K5" s="257">
        <f ca="1">'Sieve Data'!B11</f>
        <v>150</v>
      </c>
      <c r="L5" s="174" t="str">
        <f ca="1">'Sieve Data'!S3</f>
        <v/>
      </c>
      <c r="M5" s="175" t="str">
        <f ca="1">IF('Sieve Data'!$AB$1=1, "",'Sieve Data'!AC3)</f>
        <v/>
      </c>
      <c r="N5" s="176" t="str">
        <f ca="1">IF('Sieve Data'!$AB$1=1, "",'Sieve Data'!AD3)</f>
        <v/>
      </c>
      <c r="P5" s="177">
        <f t="shared" si="2"/>
        <v>3.5424473330345027E-2</v>
      </c>
      <c r="Q5" s="178">
        <f t="shared" si="0"/>
        <v>108.8504724886261</v>
      </c>
      <c r="R5" s="178">
        <f t="shared" si="3"/>
        <v>1743.7845692677899</v>
      </c>
      <c r="S5" s="179">
        <f t="shared" si="1"/>
        <v>161.60945044810751</v>
      </c>
      <c r="U5" s="190">
        <v>1</v>
      </c>
      <c r="V5" s="191">
        <f>D17</f>
        <v>0.11517783291976851</v>
      </c>
      <c r="W5" s="192">
        <f>V5^2</f>
        <v>1.326593319609411E-2</v>
      </c>
      <c r="Y5" s="318"/>
      <c r="Z5" s="316"/>
      <c r="AA5" s="317"/>
      <c r="AB5" s="310"/>
    </row>
    <row r="6" spans="1:33">
      <c r="A6" s="165"/>
      <c r="C6" s="147" t="str">
        <f ca="1">'Sieve Data'!I13</f>
        <v>No Data Provided</v>
      </c>
      <c r="I6" s="148"/>
      <c r="J6" s="424" t="str">
        <f ca="1">'Sieve Data'!A12</f>
        <v>4.00"</v>
      </c>
      <c r="K6" s="210">
        <f ca="1">'Sieve Data'!B12</f>
        <v>100</v>
      </c>
      <c r="L6" s="177" t="str">
        <f ca="1">'Sieve Data'!S4</f>
        <v/>
      </c>
      <c r="M6" s="182" t="str">
        <f ca="1">IF('Sieve Data'!$AB$1=1, "",'Sieve Data'!AC4)</f>
        <v/>
      </c>
      <c r="N6" s="183" t="str">
        <f ca="1">IF('Sieve Data'!$AB$1=1, "",'Sieve Data'!AD4)</f>
        <v/>
      </c>
      <c r="P6" s="177">
        <f t="shared" si="2"/>
        <v>3.6424473330345028E-2</v>
      </c>
      <c r="Q6" s="178">
        <f t="shared" si="0"/>
        <v>109.8729898933356</v>
      </c>
      <c r="R6" s="178">
        <f t="shared" si="3"/>
        <v>1760.1652980912363</v>
      </c>
      <c r="S6" s="179">
        <f t="shared" si="1"/>
        <v>161.19218023084593</v>
      </c>
    </row>
    <row r="7" spans="1:33" ht="12" thickBot="1">
      <c r="A7" s="184"/>
      <c r="B7" s="185"/>
      <c r="C7" s="185" t="s">
        <v>245</v>
      </c>
      <c r="D7" s="186" t="s">
        <v>246</v>
      </c>
      <c r="E7" s="187" t="s">
        <v>247</v>
      </c>
      <c r="F7" s="188"/>
      <c r="G7" s="186" t="s">
        <v>248</v>
      </c>
      <c r="H7" s="187" t="s">
        <v>247</v>
      </c>
      <c r="I7" s="214"/>
      <c r="J7" s="424" t="str">
        <f ca="1">'Sieve Data'!A13</f>
        <v>3.00"</v>
      </c>
      <c r="K7" s="210">
        <f ca="1">'Sieve Data'!B13</f>
        <v>75</v>
      </c>
      <c r="L7" s="177" t="str">
        <f ca="1">'Sieve Data'!S5</f>
        <v/>
      </c>
      <c r="M7" s="182" t="str">
        <f ca="1">IF('Sieve Data'!$AB$1=1, "",'Sieve Data'!AC5)</f>
        <v/>
      </c>
      <c r="N7" s="183" t="str">
        <f ca="1">IF('Sieve Data'!$AB$1=1, "",'Sieve Data'!AD5)</f>
        <v/>
      </c>
      <c r="P7" s="177">
        <f t="shared" si="2"/>
        <v>3.7424473330345029E-2</v>
      </c>
      <c r="Q7" s="178">
        <f t="shared" si="0"/>
        <v>110.87715920117128</v>
      </c>
      <c r="R7" s="178">
        <f t="shared" si="3"/>
        <v>1776.2520904027638</v>
      </c>
      <c r="S7" s="179">
        <f t="shared" si="1"/>
        <v>160.77705922000538</v>
      </c>
    </row>
    <row r="8" spans="1:33">
      <c r="A8" s="193"/>
      <c r="B8" s="194"/>
      <c r="C8" s="195"/>
      <c r="D8" s="195" t="s">
        <v>249</v>
      </c>
      <c r="E8" s="196"/>
      <c r="F8" s="194"/>
      <c r="G8" s="195" t="s">
        <v>250</v>
      </c>
      <c r="H8" s="196"/>
      <c r="I8" s="215"/>
      <c r="J8" s="424" t="str">
        <f ca="1">'Sieve Data'!A14</f>
        <v>2.50"</v>
      </c>
      <c r="K8" s="210">
        <f ca="1">'Sieve Data'!B14</f>
        <v>63</v>
      </c>
      <c r="L8" s="177" t="str">
        <f ca="1">'Sieve Data'!S6</f>
        <v/>
      </c>
      <c r="M8" s="182" t="str">
        <f ca="1">IF('Sieve Data'!$AB$1=1, "",'Sieve Data'!AC6)</f>
        <v/>
      </c>
      <c r="N8" s="183" t="str">
        <f ca="1">IF('Sieve Data'!$AB$1=1, "",'Sieve Data'!AD6)</f>
        <v/>
      </c>
      <c r="P8" s="177">
        <f t="shared" si="2"/>
        <v>3.842447333034503E-2</v>
      </c>
      <c r="Q8" s="178">
        <f t="shared" si="0"/>
        <v>111.86298041213317</v>
      </c>
      <c r="R8" s="178">
        <f t="shared" si="3"/>
        <v>1792.0449462023732</v>
      </c>
      <c r="S8" s="179">
        <f t="shared" si="1"/>
        <v>160.3640708535728</v>
      </c>
      <c r="T8" s="149" t="s">
        <v>258</v>
      </c>
      <c r="U8" s="198">
        <f>E14</f>
        <v>131.24594505795577</v>
      </c>
      <c r="V8" s="199">
        <f t="array" ref="V8:V10">MMULT(MINVERSE(MMULT(TRANSPOSE(U2:W5),U2:W5)),MMULT(TRANSPOSE(U2:W5),U8:U11))</f>
        <v>60.79089410569577</v>
      </c>
      <c r="W8" s="200" t="s">
        <v>259</v>
      </c>
    </row>
    <row r="9" spans="1:33">
      <c r="A9" s="193"/>
      <c r="B9" s="197" t="s">
        <v>251</v>
      </c>
      <c r="C9" s="195"/>
      <c r="D9" s="195" t="s">
        <v>252</v>
      </c>
      <c r="E9" s="196"/>
      <c r="F9" s="195"/>
      <c r="G9" s="195" t="s">
        <v>253</v>
      </c>
      <c r="H9" s="196"/>
      <c r="I9" s="260" t="s">
        <v>254</v>
      </c>
      <c r="J9" s="424" t="str">
        <f ca="1">'Sieve Data'!A15</f>
        <v>2.00"</v>
      </c>
      <c r="K9" s="210">
        <f ca="1">'Sieve Data'!B15</f>
        <v>50</v>
      </c>
      <c r="L9" s="177" t="str">
        <f ca="1">'Sieve Data'!S7</f>
        <v/>
      </c>
      <c r="M9" s="182" t="str">
        <f ca="1">IF('Sieve Data'!$AB$1=1, "",'Sieve Data'!AC7)</f>
        <v/>
      </c>
      <c r="N9" s="183" t="str">
        <f ca="1">IF('Sieve Data'!$AB$1=1, "",'Sieve Data'!AD7)</f>
        <v/>
      </c>
      <c r="P9" s="177">
        <f t="shared" si="2"/>
        <v>3.9424473330345031E-2</v>
      </c>
      <c r="Q9" s="178">
        <f t="shared" si="0"/>
        <v>112.83045352622128</v>
      </c>
      <c r="R9" s="178">
        <f t="shared" si="3"/>
        <v>1807.5438654900647</v>
      </c>
      <c r="S9" s="179">
        <f t="shared" si="1"/>
        <v>159.95319873927068</v>
      </c>
      <c r="U9" s="204">
        <f>E15</f>
        <v>133.52328044987678</v>
      </c>
      <c r="V9" s="199">
        <v>1681.6631215149537</v>
      </c>
      <c r="W9" s="200" t="s">
        <v>260</v>
      </c>
    </row>
    <row r="10" spans="1:33">
      <c r="A10" s="193"/>
      <c r="B10" s="194"/>
      <c r="C10" s="195"/>
      <c r="D10" s="195" t="s">
        <v>255</v>
      </c>
      <c r="E10" s="196"/>
      <c r="F10" s="195"/>
      <c r="G10" s="195" t="s">
        <v>256</v>
      </c>
      <c r="H10" s="196" t="s">
        <v>247</v>
      </c>
      <c r="I10" s="261" t="s">
        <v>257</v>
      </c>
      <c r="J10" s="424" t="str">
        <f ca="1">'Sieve Data'!A16</f>
        <v>1.75"</v>
      </c>
      <c r="K10" s="210">
        <f ca="1">'Sieve Data'!B16</f>
        <v>45</v>
      </c>
      <c r="L10" s="177" t="str">
        <f ca="1">'Sieve Data'!S8</f>
        <v/>
      </c>
      <c r="M10" s="182" t="str">
        <f ca="1">IF('Sieve Data'!$AB$1=1, "",'Sieve Data'!AC8)</f>
        <v/>
      </c>
      <c r="N10" s="183" t="str">
        <f ca="1">IF('Sieve Data'!$AB$1=1, "",'Sieve Data'!AD8)</f>
        <v/>
      </c>
      <c r="P10" s="177">
        <f t="shared" si="2"/>
        <v>4.0424473330345032E-2</v>
      </c>
      <c r="Q10" s="178">
        <f t="shared" si="0"/>
        <v>113.77957854343558</v>
      </c>
      <c r="R10" s="178">
        <f t="shared" si="3"/>
        <v>1822.748848265838</v>
      </c>
      <c r="S10" s="179">
        <f t="shared" si="1"/>
        <v>159.54442665238821</v>
      </c>
      <c r="U10" s="204">
        <f>E16</f>
        <v>139.20513463051708</v>
      </c>
      <c r="V10" s="199">
        <v>-9174.0484369006008</v>
      </c>
      <c r="W10" s="200" t="s">
        <v>266</v>
      </c>
    </row>
    <row r="11" spans="1:33" ht="12" thickBot="1">
      <c r="A11" s="201"/>
      <c r="B11" s="202"/>
      <c r="C11" s="203"/>
      <c r="D11" s="325"/>
      <c r="E11" s="326" t="s">
        <v>263</v>
      </c>
      <c r="F11" s="326" t="s">
        <v>263</v>
      </c>
      <c r="G11" s="325"/>
      <c r="H11" s="202"/>
      <c r="I11" s="262"/>
      <c r="J11" s="424" t="str">
        <f ca="1">'Sieve Data'!A17</f>
        <v>1.50"</v>
      </c>
      <c r="K11" s="210">
        <f ca="1">'Sieve Data'!B17</f>
        <v>37.5</v>
      </c>
      <c r="L11" s="177" t="str">
        <f ca="1">'Sieve Data'!S9</f>
        <v/>
      </c>
      <c r="M11" s="182" t="str">
        <f ca="1">IF('Sieve Data'!$AB$1=1, "",'Sieve Data'!AC9)</f>
        <v/>
      </c>
      <c r="N11" s="183" t="str">
        <f ca="1">IF('Sieve Data'!$AB$1=1, "",'Sieve Data'!AD9)</f>
        <v/>
      </c>
      <c r="P11" s="177">
        <f t="shared" si="2"/>
        <v>4.1424473330345032E-2</v>
      </c>
      <c r="Q11" s="178">
        <f t="shared" si="0"/>
        <v>114.71035546377607</v>
      </c>
      <c r="R11" s="178">
        <f t="shared" si="3"/>
        <v>1837.6598945296926</v>
      </c>
      <c r="S11" s="179">
        <f t="shared" si="1"/>
        <v>159.13773853364549</v>
      </c>
      <c r="U11" s="206">
        <f>E17</f>
        <v>132.59975730762099</v>
      </c>
    </row>
    <row r="12" spans="1:33">
      <c r="A12" s="165"/>
      <c r="B12" s="149" t="s">
        <v>261</v>
      </c>
      <c r="C12" s="169" t="s">
        <v>262</v>
      </c>
      <c r="D12" s="169" t="s">
        <v>21</v>
      </c>
      <c r="E12" s="169" t="s">
        <v>269</v>
      </c>
      <c r="F12" s="169" t="s">
        <v>269</v>
      </c>
      <c r="G12" s="169" t="s">
        <v>264</v>
      </c>
      <c r="H12" s="169"/>
      <c r="I12" s="263" t="s">
        <v>265</v>
      </c>
      <c r="J12" s="424" t="str">
        <f ca="1">'Sieve Data'!A18</f>
        <v>1.25"</v>
      </c>
      <c r="K12" s="210">
        <f ca="1">'Sieve Data'!B18</f>
        <v>31.5</v>
      </c>
      <c r="L12" s="177" t="str">
        <f ca="1">'Sieve Data'!S10</f>
        <v/>
      </c>
      <c r="M12" s="182" t="str">
        <f ca="1">IF('Sieve Data'!$AB$1=1, "",'Sieve Data'!AC10)</f>
        <v/>
      </c>
      <c r="N12" s="183" t="str">
        <f ca="1">IF('Sieve Data'!$AB$1=1, "",'Sieve Data'!AD10)</f>
        <v/>
      </c>
      <c r="P12" s="177">
        <f t="shared" si="2"/>
        <v>4.2424473330345033E-2</v>
      </c>
      <c r="Q12" s="178">
        <f t="shared" si="0"/>
        <v>115.62278428724274</v>
      </c>
      <c r="R12" s="178">
        <f t="shared" si="3"/>
        <v>1852.2770042816287</v>
      </c>
      <c r="S12" s="179">
        <f t="shared" si="1"/>
        <v>158.73311848709048</v>
      </c>
    </row>
    <row r="13" spans="1:33">
      <c r="A13" s="165"/>
      <c r="B13" s="205">
        <v>2.85</v>
      </c>
      <c r="C13" s="169" t="s">
        <v>267</v>
      </c>
      <c r="D13" s="169" t="s">
        <v>268</v>
      </c>
      <c r="E13" s="169" t="s">
        <v>444</v>
      </c>
      <c r="F13" s="169" t="s">
        <v>445</v>
      </c>
      <c r="G13" s="169" t="s">
        <v>270</v>
      </c>
      <c r="H13" s="149"/>
      <c r="I13" s="263" t="s">
        <v>271</v>
      </c>
      <c r="J13" s="424" t="str">
        <f ca="1">'Sieve Data'!A19</f>
        <v>1.00"</v>
      </c>
      <c r="K13" s="210">
        <f ca="1">'Sieve Data'!B19</f>
        <v>25</v>
      </c>
      <c r="L13" s="177" t="str">
        <f ca="1">'Sieve Data'!S11</f>
        <v/>
      </c>
      <c r="M13" s="182" t="str">
        <f ca="1">IF('Sieve Data'!$AB$1=1, "",'Sieve Data'!AC11)</f>
        <v/>
      </c>
      <c r="N13" s="183" t="str">
        <f ca="1">IF('Sieve Data'!$AB$1=1, "",'Sieve Data'!AD11)</f>
        <v/>
      </c>
      <c r="P13" s="177">
        <f t="shared" si="2"/>
        <v>4.3424473330345034E-2</v>
      </c>
      <c r="Q13" s="178">
        <f t="shared" si="0"/>
        <v>116.51686501383563</v>
      </c>
      <c r="R13" s="178">
        <f t="shared" si="3"/>
        <v>1866.6001775216466</v>
      </c>
      <c r="S13" s="179">
        <f t="shared" si="1"/>
        <v>158.33055077802794</v>
      </c>
      <c r="X13" s="209"/>
      <c r="Y13" s="209"/>
      <c r="Z13" s="209"/>
      <c r="AA13" s="209"/>
      <c r="AB13" s="209"/>
      <c r="AC13" s="209"/>
      <c r="AD13" s="209"/>
      <c r="AE13" s="209"/>
      <c r="AF13" s="209"/>
      <c r="AG13" s="209"/>
    </row>
    <row r="14" spans="1:33">
      <c r="A14" s="165"/>
      <c r="B14" s="149"/>
      <c r="C14" s="164">
        <v>1</v>
      </c>
      <c r="D14" s="322">
        <f ca="1">'Proctor Data'!C17</f>
        <v>6.3424473330345024E-2</v>
      </c>
      <c r="E14" s="313">
        <f ca="1">'Proctor Data'!C18</f>
        <v>131.24594505795577</v>
      </c>
      <c r="F14" s="323">
        <f>E14*16.02</f>
        <v>2102.5600398284514</v>
      </c>
      <c r="G14" s="207">
        <f>MAX(Q3:Q240)</f>
        <v>137.855377966704</v>
      </c>
      <c r="H14" s="208" t="s">
        <v>280</v>
      </c>
      <c r="I14" s="151">
        <f>INDEX(P3:P240,MATCH(G14,Q3:Q240,0),1)</f>
        <v>9.1424473330345077E-2</v>
      </c>
      <c r="J14" s="424" t="str">
        <f ca="1">'Sieve Data'!A20</f>
        <v>7/8"</v>
      </c>
      <c r="K14" s="210">
        <f ca="1">'Sieve Data'!B20</f>
        <v>22.4</v>
      </c>
      <c r="L14" s="177" t="str">
        <f ca="1">'Sieve Data'!S12</f>
        <v/>
      </c>
      <c r="M14" s="182" t="str">
        <f ca="1">IF('Sieve Data'!$AB$1=1, "",'Sieve Data'!AC12)</f>
        <v/>
      </c>
      <c r="N14" s="183" t="str">
        <f ca="1">IF('Sieve Data'!$AB$1=1, "",'Sieve Data'!AD12)</f>
        <v/>
      </c>
      <c r="P14" s="177">
        <f t="shared" si="2"/>
        <v>4.4424473330345035E-2</v>
      </c>
      <c r="Q14" s="178">
        <f t="shared" si="0"/>
        <v>117.39259764355472</v>
      </c>
      <c r="R14" s="178">
        <f t="shared" si="3"/>
        <v>1880.6294142497466</v>
      </c>
      <c r="S14" s="179">
        <f t="shared" si="1"/>
        <v>157.93001983097969</v>
      </c>
      <c r="V14" s="146" t="s">
        <v>272</v>
      </c>
      <c r="X14" s="209"/>
      <c r="Y14" s="209"/>
      <c r="Z14" s="209"/>
      <c r="AA14" s="209"/>
      <c r="AB14" s="209"/>
      <c r="AC14" s="209"/>
      <c r="AD14" s="209"/>
      <c r="AE14" s="209"/>
      <c r="AF14" s="209"/>
      <c r="AG14" s="209"/>
    </row>
    <row r="15" spans="1:33">
      <c r="A15" s="165"/>
      <c r="B15" s="177"/>
      <c r="C15" s="164">
        <v>2</v>
      </c>
      <c r="D15" s="322">
        <f ca="1">'Proctor Data'!D17</f>
        <v>7.6276807428697774E-2</v>
      </c>
      <c r="E15" s="313">
        <f ca="1">'Proctor Data'!D18</f>
        <v>133.52328044987678</v>
      </c>
      <c r="F15" s="323">
        <f>E15*16.02</f>
        <v>2139.0429528070258</v>
      </c>
      <c r="G15" s="324">
        <f ca="1">Dry_Density*16.02</f>
        <v>2208.4431550265981</v>
      </c>
      <c r="H15" s="200" t="s">
        <v>445</v>
      </c>
      <c r="I15" s="148"/>
      <c r="J15" s="424" t="str">
        <f ca="1">'Sieve Data'!A21</f>
        <v>3/4"</v>
      </c>
      <c r="K15" s="210">
        <f ca="1">'Sieve Data'!B21</f>
        <v>19</v>
      </c>
      <c r="L15" s="177" t="str">
        <f ca="1">'Sieve Data'!S13</f>
        <v/>
      </c>
      <c r="M15" s="182" t="str">
        <f ca="1">IF('Sieve Data'!$AB$1=1, "",'Sieve Data'!AC13)</f>
        <v/>
      </c>
      <c r="N15" s="183" t="str">
        <f ca="1">IF('Sieve Data'!$AB$1=1, "",'Sieve Data'!AD13)</f>
        <v/>
      </c>
      <c r="P15" s="177">
        <f t="shared" si="2"/>
        <v>4.5424473330345036E-2</v>
      </c>
      <c r="Q15" s="178">
        <f t="shared" si="0"/>
        <v>118.24998217640001</v>
      </c>
      <c r="R15" s="178">
        <f t="shared" si="3"/>
        <v>1894.364714465928</v>
      </c>
      <c r="S15" s="179">
        <f t="shared" si="1"/>
        <v>157.53151022767582</v>
      </c>
      <c r="X15" s="209"/>
      <c r="Y15" s="209"/>
      <c r="Z15" s="209"/>
      <c r="AA15" s="209"/>
      <c r="AB15" s="209"/>
      <c r="AC15" s="209"/>
      <c r="AD15" s="209"/>
      <c r="AE15" s="209"/>
      <c r="AF15" s="209"/>
      <c r="AG15" s="209"/>
    </row>
    <row r="16" spans="1:33">
      <c r="A16" s="165"/>
      <c r="B16" s="149"/>
      <c r="C16" s="164">
        <v>3</v>
      </c>
      <c r="D16" s="322">
        <f ca="1">'Proctor Data'!E17</f>
        <v>8.6003834565872295E-2</v>
      </c>
      <c r="E16" s="313">
        <f ca="1">'Proctor Data'!E18</f>
        <v>139.20513463051708</v>
      </c>
      <c r="F16" s="323">
        <f>E16*16.02</f>
        <v>2230.0662567808836</v>
      </c>
      <c r="G16" s="179"/>
      <c r="H16" s="179"/>
      <c r="I16" s="264"/>
      <c r="J16" s="424" t="str">
        <f ca="1">'Sieve Data'!A22</f>
        <v>5/8"</v>
      </c>
      <c r="K16" s="210">
        <f ca="1">'Sieve Data'!B22</f>
        <v>16</v>
      </c>
      <c r="L16" s="177" t="str">
        <f ca="1">'Sieve Data'!S14</f>
        <v/>
      </c>
      <c r="M16" s="182" t="str">
        <f ca="1">IF('Sieve Data'!$AB$1=1, "",'Sieve Data'!AC14)</f>
        <v/>
      </c>
      <c r="N16" s="183" t="str">
        <f ca="1">IF('Sieve Data'!$AB$1=1, "",'Sieve Data'!AD14)</f>
        <v/>
      </c>
      <c r="P16" s="177">
        <f t="shared" si="2"/>
        <v>4.6424473330345037E-2</v>
      </c>
      <c r="Q16" s="178">
        <f t="shared" si="0"/>
        <v>119.0890186123715</v>
      </c>
      <c r="R16" s="178">
        <f t="shared" si="3"/>
        <v>1907.8060781701915</v>
      </c>
      <c r="S16" s="179">
        <f t="shared" si="1"/>
        <v>157.13500670507631</v>
      </c>
      <c r="U16" s="146"/>
      <c r="V16" s="146" t="s">
        <v>273</v>
      </c>
      <c r="X16" s="209"/>
      <c r="Y16" s="209"/>
      <c r="Z16" s="209"/>
      <c r="AA16" s="209"/>
      <c r="AB16" s="209"/>
      <c r="AC16" s="209"/>
      <c r="AD16" s="209"/>
      <c r="AE16" s="209"/>
      <c r="AF16" s="209"/>
      <c r="AG16" s="209"/>
    </row>
    <row r="17" spans="1:22">
      <c r="A17" s="165"/>
      <c r="B17" s="177"/>
      <c r="C17" s="164">
        <v>4</v>
      </c>
      <c r="D17" s="322">
        <f ca="1">'Proctor Data'!F17</f>
        <v>0.11517783291976851</v>
      </c>
      <c r="E17" s="313">
        <f ca="1">'Proctor Data'!F18</f>
        <v>132.59975730762099</v>
      </c>
      <c r="F17" s="323">
        <f>E17*16.02</f>
        <v>2124.2481120680882</v>
      </c>
      <c r="G17" s="179"/>
      <c r="H17" s="208"/>
      <c r="I17" s="265"/>
      <c r="J17" s="424" t="str">
        <f ca="1">'Sieve Data'!A23</f>
        <v>1/2"</v>
      </c>
      <c r="K17" s="210">
        <f ca="1">'Sieve Data'!B23</f>
        <v>12.5</v>
      </c>
      <c r="L17" s="177" t="str">
        <f ca="1">'Sieve Data'!S15</f>
        <v/>
      </c>
      <c r="M17" s="182" t="str">
        <f ca="1">IF('Sieve Data'!$AB$1=1, "",'Sieve Data'!AC15)</f>
        <v/>
      </c>
      <c r="N17" s="183" t="str">
        <f ca="1">IF('Sieve Data'!$AB$1=1, "",'Sieve Data'!AD15)</f>
        <v/>
      </c>
      <c r="P17" s="177">
        <f t="shared" si="2"/>
        <v>4.7424473330345038E-2</v>
      </c>
      <c r="Q17" s="178">
        <f t="shared" si="0"/>
        <v>119.90970695146916</v>
      </c>
      <c r="R17" s="178">
        <f t="shared" si="3"/>
        <v>1920.9535053625359</v>
      </c>
      <c r="S17" s="179">
        <f t="shared" si="1"/>
        <v>156.74049415342236</v>
      </c>
      <c r="T17" s="199"/>
    </row>
    <row r="18" spans="1:22">
      <c r="A18" s="165"/>
      <c r="C18" s="164"/>
      <c r="D18" s="211"/>
      <c r="E18" s="179"/>
      <c r="F18" s="179"/>
      <c r="G18" s="207"/>
      <c r="H18" s="208"/>
      <c r="I18" s="151"/>
      <c r="J18" s="424" t="str">
        <f ca="1">'Sieve Data'!A24</f>
        <v>3/8"</v>
      </c>
      <c r="K18" s="210">
        <f ca="1">'Sieve Data'!B24</f>
        <v>9.5</v>
      </c>
      <c r="L18" s="177" t="str">
        <f ca="1">'Sieve Data'!S16</f>
        <v/>
      </c>
      <c r="M18" s="182" t="str">
        <f ca="1">IF('Sieve Data'!$AB$1=1, "",'Sieve Data'!AC16)</f>
        <v/>
      </c>
      <c r="N18" s="183" t="str">
        <f ca="1">IF('Sieve Data'!$AB$1=1, "",'Sieve Data'!AD16)</f>
        <v/>
      </c>
      <c r="P18" s="177">
        <f t="shared" si="2"/>
        <v>4.8424473330345039E-2</v>
      </c>
      <c r="Q18" s="178">
        <f t="shared" si="0"/>
        <v>120.71204719369305</v>
      </c>
      <c r="R18" s="178">
        <f t="shared" si="3"/>
        <v>1933.8069960429627</v>
      </c>
      <c r="S18" s="179">
        <f t="shared" si="1"/>
        <v>156.34795761431704</v>
      </c>
    </row>
    <row r="19" spans="1:22">
      <c r="A19" s="184"/>
      <c r="B19" s="189"/>
      <c r="C19" s="189"/>
      <c r="D19" s="189"/>
      <c r="E19" s="189"/>
      <c r="F19" s="189"/>
      <c r="G19" s="189"/>
      <c r="H19" s="189"/>
      <c r="I19" s="266"/>
      <c r="J19" s="424" t="str">
        <f ca="1">'Sieve Data'!A25</f>
        <v>1/4"</v>
      </c>
      <c r="K19" s="210">
        <f ca="1">'Sieve Data'!B25</f>
        <v>6.3</v>
      </c>
      <c r="L19" s="177" t="str">
        <f ca="1">'Sieve Data'!S17</f>
        <v/>
      </c>
      <c r="M19" s="182" t="str">
        <f ca="1">IF('Sieve Data'!$AB$1=1, "",'Sieve Data'!AC17)</f>
        <v/>
      </c>
      <c r="N19" s="183" t="str">
        <f ca="1">IF('Sieve Data'!$AB$1=1, "",'Sieve Data'!AD17)</f>
        <v/>
      </c>
      <c r="P19" s="177">
        <f t="shared" si="2"/>
        <v>4.942447333034504E-2</v>
      </c>
      <c r="Q19" s="178">
        <f t="shared" si="0"/>
        <v>121.49603933904314</v>
      </c>
      <c r="R19" s="178">
        <f t="shared" si="3"/>
        <v>1946.3665502114709</v>
      </c>
      <c r="S19" s="179">
        <f t="shared" si="1"/>
        <v>155.95738227883456</v>
      </c>
      <c r="U19" s="212"/>
      <c r="V19" s="213"/>
    </row>
    <row r="20" spans="1:22">
      <c r="A20" s="193"/>
      <c r="B20" s="194"/>
      <c r="C20" s="194"/>
      <c r="D20" s="194"/>
      <c r="E20" s="194"/>
      <c r="F20" s="194"/>
      <c r="G20" s="194"/>
      <c r="H20" s="194"/>
      <c r="I20" s="267"/>
      <c r="J20" s="424" t="str">
        <f ca="1">'Sieve Data'!A26</f>
        <v>#4</v>
      </c>
      <c r="K20" s="258">
        <f ca="1">'Sieve Data'!B26</f>
        <v>4.75</v>
      </c>
      <c r="L20" s="177" t="str">
        <f ca="1">'Sieve Data'!S18</f>
        <v/>
      </c>
      <c r="M20" s="182" t="str">
        <f ca="1">IF('Sieve Data'!$AB$1=1, "",'Sieve Data'!AC18)</f>
        <v/>
      </c>
      <c r="N20" s="183" t="str">
        <f ca="1">IF('Sieve Data'!$AB$1=1, "",'Sieve Data'!AD18)</f>
        <v/>
      </c>
      <c r="P20" s="177">
        <f>P19+0.001</f>
        <v>5.042447333034504E-2</v>
      </c>
      <c r="Q20" s="178">
        <f t="shared" si="0"/>
        <v>122.26168338751941</v>
      </c>
      <c r="R20" s="178">
        <f t="shared" si="3"/>
        <v>1958.6321678680608</v>
      </c>
      <c r="S20" s="179">
        <f t="shared" si="1"/>
        <v>155.56875348565811</v>
      </c>
      <c r="U20" s="212"/>
      <c r="V20" s="213"/>
    </row>
    <row r="21" spans="1:22">
      <c r="A21" s="193"/>
      <c r="B21" s="197"/>
      <c r="C21" s="194"/>
      <c r="D21" s="194"/>
      <c r="E21" s="194"/>
      <c r="F21" s="194"/>
      <c r="G21" s="194"/>
      <c r="H21" s="194"/>
      <c r="I21" s="215"/>
      <c r="J21" s="424" t="str">
        <f ca="1">'Sieve Data'!A37</f>
        <v>#8</v>
      </c>
      <c r="K21" s="258">
        <f ca="1">'Sieve Data'!B37</f>
        <v>2.36</v>
      </c>
      <c r="L21" s="177" t="str">
        <f ca="1">'Sieve Data'!S19</f>
        <v/>
      </c>
      <c r="M21" s="182" t="str">
        <f ca="1">IF('Sieve Data'!$AB$1=1, "",'Sieve Data'!AC19)</f>
        <v/>
      </c>
      <c r="N21" s="183" t="str">
        <f ca="1">IF('Sieve Data'!$AB$1=1, "",'Sieve Data'!AD19)</f>
        <v/>
      </c>
      <c r="P21" s="177">
        <f t="shared" si="2"/>
        <v>5.1424473330345041E-2</v>
      </c>
      <c r="Q21" s="178">
        <f t="shared" si="0"/>
        <v>123.00897933912188</v>
      </c>
      <c r="R21" s="178">
        <f t="shared" si="3"/>
        <v>1970.6038490127326</v>
      </c>
      <c r="S21" s="179">
        <f t="shared" si="1"/>
        <v>155.18205671924528</v>
      </c>
      <c r="U21" s="212"/>
      <c r="V21" s="213"/>
    </row>
    <row r="22" spans="1:22">
      <c r="A22" s="193"/>
      <c r="B22" s="197"/>
      <c r="C22" s="194"/>
      <c r="D22" s="194"/>
      <c r="E22" s="194"/>
      <c r="F22" s="194"/>
      <c r="G22" s="194"/>
      <c r="H22" s="194"/>
      <c r="I22" s="215"/>
      <c r="J22" s="424" t="str">
        <f ca="1">'Sieve Data'!A38</f>
        <v>#10</v>
      </c>
      <c r="K22" s="258">
        <f ca="1">'Sieve Data'!B38</f>
        <v>2</v>
      </c>
      <c r="L22" s="177" t="str">
        <f ca="1">'Sieve Data'!S20</f>
        <v/>
      </c>
      <c r="M22" s="182" t="str">
        <f ca="1">IF('Sieve Data'!$AB$1=1, "",'Sieve Data'!AC20)</f>
        <v/>
      </c>
      <c r="N22" s="183" t="str">
        <f ca="1">IF('Sieve Data'!$AB$1=1, "",'Sieve Data'!AD20)</f>
        <v/>
      </c>
      <c r="P22" s="177">
        <f t="shared" si="2"/>
        <v>5.2424473330345042E-2</v>
      </c>
      <c r="Q22" s="178">
        <f t="shared" si="0"/>
        <v>123.73792719385057</v>
      </c>
      <c r="R22" s="178">
        <f t="shared" si="3"/>
        <v>1982.2815936454861</v>
      </c>
      <c r="S22" s="179">
        <f t="shared" si="1"/>
        <v>154.79727760802066</v>
      </c>
      <c r="U22" s="212"/>
      <c r="V22" s="213"/>
    </row>
    <row r="23" spans="1:22">
      <c r="A23" s="193"/>
      <c r="B23" s="197"/>
      <c r="C23" s="194"/>
      <c r="D23" s="194"/>
      <c r="E23" s="194"/>
      <c r="F23" s="194"/>
      <c r="G23" s="194"/>
      <c r="H23" s="194"/>
      <c r="I23" s="215"/>
      <c r="J23" s="424" t="str">
        <f ca="1">'Sieve Data'!A39</f>
        <v>#16</v>
      </c>
      <c r="K23" s="258">
        <f ca="1">'Sieve Data'!B39</f>
        <v>1.18</v>
      </c>
      <c r="L23" s="177" t="str">
        <f ca="1">'Sieve Data'!S21</f>
        <v/>
      </c>
      <c r="M23" s="182" t="str">
        <f ca="1">IF('Sieve Data'!$AB$1=1, "",'Sieve Data'!AC21)</f>
        <v/>
      </c>
      <c r="N23" s="183" t="str">
        <f ca="1">IF('Sieve Data'!$AB$1=1, "",'Sieve Data'!AD21)</f>
        <v/>
      </c>
      <c r="P23" s="177">
        <f t="shared" si="2"/>
        <v>5.3424473330345043E-2</v>
      </c>
      <c r="Q23" s="178">
        <f t="shared" si="0"/>
        <v>124.44852695170545</v>
      </c>
      <c r="R23" s="178">
        <f t="shared" si="3"/>
        <v>1993.6654017663211</v>
      </c>
      <c r="S23" s="179">
        <f t="shared" si="1"/>
        <v>154.41440192259557</v>
      </c>
      <c r="U23" s="212"/>
      <c r="V23" s="213"/>
    </row>
    <row r="24" spans="1:22">
      <c r="A24" s="193"/>
      <c r="B24" s="197"/>
      <c r="C24" s="194"/>
      <c r="D24" s="194"/>
      <c r="E24" s="194"/>
      <c r="F24" s="194"/>
      <c r="G24" s="194"/>
      <c r="H24" s="194"/>
      <c r="I24" s="215"/>
      <c r="J24" s="424" t="str">
        <f ca="1">'Sieve Data'!A40</f>
        <v>#20</v>
      </c>
      <c r="K24" s="258">
        <f ca="1">'Sieve Data'!B40</f>
        <v>0.85</v>
      </c>
      <c r="L24" s="177" t="str">
        <f ca="1">'Sieve Data'!S22</f>
        <v/>
      </c>
      <c r="M24" s="182" t="str">
        <f ca="1">IF('Sieve Data'!$AB$1=1, "",'Sieve Data'!AC22)</f>
        <v/>
      </c>
      <c r="N24" s="183" t="str">
        <f ca="1">IF('Sieve Data'!$AB$1=1, "",'Sieve Data'!AD22)</f>
        <v/>
      </c>
      <c r="P24" s="177">
        <f t="shared" si="2"/>
        <v>5.4424473330345044E-2</v>
      </c>
      <c r="Q24" s="178">
        <f t="shared" si="0"/>
        <v>125.14077861268652</v>
      </c>
      <c r="R24" s="178">
        <f t="shared" si="3"/>
        <v>2004.7552733752379</v>
      </c>
      <c r="S24" s="179">
        <f t="shared" si="1"/>
        <v>154.03341557401384</v>
      </c>
      <c r="U24" s="212"/>
      <c r="V24" s="213"/>
    </row>
    <row r="25" spans="1:22">
      <c r="A25" s="193"/>
      <c r="B25" s="197"/>
      <c r="C25" s="194"/>
      <c r="D25" s="194"/>
      <c r="E25" s="194"/>
      <c r="F25" s="194"/>
      <c r="G25" s="194"/>
      <c r="H25" s="194"/>
      <c r="I25" s="215"/>
      <c r="J25" s="424" t="str">
        <f ca="1">'Sieve Data'!A41</f>
        <v>#30</v>
      </c>
      <c r="K25" s="258">
        <f ca="1">'Sieve Data'!B41</f>
        <v>0.6</v>
      </c>
      <c r="L25" s="177" t="str">
        <f ca="1">'Sieve Data'!S23</f>
        <v/>
      </c>
      <c r="M25" s="182" t="str">
        <f ca="1">IF('Sieve Data'!$AB$1=1, "",'Sieve Data'!AC23)</f>
        <v/>
      </c>
      <c r="N25" s="183" t="str">
        <f ca="1">IF('Sieve Data'!$AB$1=1, "",'Sieve Data'!AD23)</f>
        <v/>
      </c>
      <c r="P25" s="177">
        <f t="shared" si="2"/>
        <v>5.5424473330345045E-2</v>
      </c>
      <c r="Q25" s="178">
        <f t="shared" si="0"/>
        <v>125.81468217679378</v>
      </c>
      <c r="R25" s="178">
        <f t="shared" si="3"/>
        <v>2015.5512084722363</v>
      </c>
      <c r="S25" s="179">
        <f t="shared" si="1"/>
        <v>153.65430461202379</v>
      </c>
    </row>
    <row r="26" spans="1:22">
      <c r="A26" s="193"/>
      <c r="B26" s="197"/>
      <c r="C26" s="194"/>
      <c r="D26" s="194"/>
      <c r="E26" s="194"/>
      <c r="F26" s="194"/>
      <c r="G26" s="194"/>
      <c r="H26" s="194"/>
      <c r="I26" s="215"/>
      <c r="J26" s="424" t="str">
        <f ca="1">'Sieve Data'!A42</f>
        <v>#40</v>
      </c>
      <c r="K26" s="258">
        <f ca="1">'Sieve Data'!B42</f>
        <v>0.42499999999999999</v>
      </c>
      <c r="L26" s="177" t="str">
        <f ca="1">'Sieve Data'!S24</f>
        <v/>
      </c>
      <c r="M26" s="182" t="str">
        <f ca="1">IF('Sieve Data'!$AB$1=1, "",'Sieve Data'!AC24)</f>
        <v/>
      </c>
      <c r="N26" s="183" t="str">
        <f ca="1">IF('Sieve Data'!$AB$1=1, "",'Sieve Data'!AD24)</f>
        <v/>
      </c>
      <c r="P26" s="177">
        <f t="shared" si="2"/>
        <v>5.6424473330345046E-2</v>
      </c>
      <c r="Q26" s="178">
        <f t="shared" si="0"/>
        <v>126.47023764402726</v>
      </c>
      <c r="R26" s="178">
        <f t="shared" si="3"/>
        <v>2026.0532070573167</v>
      </c>
      <c r="S26" s="179">
        <f t="shared" si="1"/>
        <v>153.27705522337527</v>
      </c>
    </row>
    <row r="27" spans="1:22">
      <c r="A27" s="193"/>
      <c r="B27" s="194"/>
      <c r="C27" s="194"/>
      <c r="D27" s="194"/>
      <c r="E27" s="194"/>
      <c r="F27" s="194"/>
      <c r="G27" s="194"/>
      <c r="H27" s="194"/>
      <c r="I27" s="215"/>
      <c r="J27" s="424" t="str">
        <f ca="1">'Sieve Data'!A43</f>
        <v>#50</v>
      </c>
      <c r="K27" s="258">
        <f ca="1">'Sieve Data'!B43</f>
        <v>0.3</v>
      </c>
      <c r="L27" s="177" t="str">
        <f ca="1">'Sieve Data'!S25</f>
        <v/>
      </c>
      <c r="M27" s="182" t="str">
        <f ca="1">IF('Sieve Data'!$AB$1=1, "",'Sieve Data'!AC25)</f>
        <v/>
      </c>
      <c r="N27" s="183" t="str">
        <f ca="1">IF('Sieve Data'!$AB$1=1, "",'Sieve Data'!AD25)</f>
        <v/>
      </c>
      <c r="P27" s="177">
        <f t="shared" si="2"/>
        <v>5.7424473330345047E-2</v>
      </c>
      <c r="Q27" s="178">
        <f t="shared" si="0"/>
        <v>127.10744501438694</v>
      </c>
      <c r="R27" s="178">
        <f t="shared" si="3"/>
        <v>2036.2612691304787</v>
      </c>
      <c r="S27" s="179">
        <f t="shared" si="1"/>
        <v>152.90165373014219</v>
      </c>
    </row>
    <row r="28" spans="1:22">
      <c r="A28" s="193"/>
      <c r="B28" s="194"/>
      <c r="C28" s="194"/>
      <c r="D28" s="194"/>
      <c r="E28" s="194"/>
      <c r="F28" s="194"/>
      <c r="G28" s="194"/>
      <c r="H28" s="194"/>
      <c r="I28" s="215"/>
      <c r="J28" s="424" t="str">
        <f ca="1">'Sieve Data'!A44</f>
        <v>#60</v>
      </c>
      <c r="K28" s="258">
        <f ca="1">'Sieve Data'!B44</f>
        <v>0.25</v>
      </c>
      <c r="L28" s="177" t="str">
        <f ca="1">'Sieve Data'!S26</f>
        <v/>
      </c>
      <c r="M28" s="182" t="str">
        <f ca="1">IF('Sieve Data'!$AB$1=1, "",'Sieve Data'!AC26)</f>
        <v/>
      </c>
      <c r="N28" s="183" t="str">
        <f ca="1">IF('Sieve Data'!$AB$1=1, "",'Sieve Data'!AD26)</f>
        <v/>
      </c>
      <c r="P28" s="177">
        <f t="shared" si="2"/>
        <v>5.8424473330345048E-2</v>
      </c>
      <c r="Q28" s="178">
        <f t="shared" si="0"/>
        <v>127.72630428787281</v>
      </c>
      <c r="R28" s="178">
        <f t="shared" si="3"/>
        <v>2046.1753946917222</v>
      </c>
      <c r="S28" s="179">
        <f t="shared" si="1"/>
        <v>152.52808658806936</v>
      </c>
    </row>
    <row r="29" spans="1:22">
      <c r="A29" s="193"/>
      <c r="B29" s="194"/>
      <c r="C29" s="194"/>
      <c r="D29" s="194"/>
      <c r="E29" s="194"/>
      <c r="F29" s="194"/>
      <c r="G29" s="194"/>
      <c r="H29" s="194"/>
      <c r="I29" s="215"/>
      <c r="J29" s="424" t="str">
        <f ca="1">'Sieve Data'!A45</f>
        <v>#80</v>
      </c>
      <c r="K29" s="258">
        <f ca="1">'Sieve Data'!B45</f>
        <v>0.18</v>
      </c>
      <c r="L29" s="177" t="str">
        <f ca="1">'Sieve Data'!S27</f>
        <v/>
      </c>
      <c r="M29" s="182" t="str">
        <f ca="1">IF('Sieve Data'!$AB$1=1, "",'Sieve Data'!AC27)</f>
        <v/>
      </c>
      <c r="N29" s="183" t="str">
        <f ca="1">IF('Sieve Data'!$AB$1=1, "",'Sieve Data'!AD27)</f>
        <v/>
      </c>
      <c r="P29" s="177">
        <f t="shared" si="2"/>
        <v>5.9424473330345048E-2</v>
      </c>
      <c r="Q29" s="178">
        <f t="shared" si="0"/>
        <v>128.32681546448487</v>
      </c>
      <c r="R29" s="178">
        <f t="shared" si="3"/>
        <v>2055.7955837410477</v>
      </c>
      <c r="S29" s="179">
        <f t="shared" si="1"/>
        <v>152.15634038494329</v>
      </c>
    </row>
    <row r="30" spans="1:22">
      <c r="A30" s="193"/>
      <c r="B30" s="194"/>
      <c r="C30" s="194"/>
      <c r="D30" s="194"/>
      <c r="E30" s="194"/>
      <c r="F30" s="194"/>
      <c r="G30" s="194"/>
      <c r="H30" s="194"/>
      <c r="I30" s="215"/>
      <c r="J30" s="424" t="str">
        <f ca="1">'Sieve Data'!A46</f>
        <v>#100</v>
      </c>
      <c r="K30" s="258">
        <f ca="1">'Sieve Data'!B46</f>
        <v>0.15</v>
      </c>
      <c r="L30" s="177" t="str">
        <f ca="1">'Sieve Data'!S28</f>
        <v/>
      </c>
      <c r="M30" s="182" t="str">
        <f ca="1">IF('Sieve Data'!$AB$1=1, "",'Sieve Data'!AC28)</f>
        <v/>
      </c>
      <c r="N30" s="183" t="str">
        <f ca="1">IF('Sieve Data'!$AB$1=1, "",'Sieve Data'!AD28)</f>
        <v/>
      </c>
      <c r="P30" s="177">
        <f t="shared" si="2"/>
        <v>6.0424473330345049E-2</v>
      </c>
      <c r="Q30" s="178">
        <f t="shared" si="0"/>
        <v>128.90897854422315</v>
      </c>
      <c r="R30" s="178">
        <f t="shared" si="3"/>
        <v>2065.1218362784548</v>
      </c>
      <c r="S30" s="179">
        <f t="shared" si="1"/>
        <v>151.78640183898753</v>
      </c>
    </row>
    <row r="31" spans="1:22">
      <c r="A31" s="193"/>
      <c r="B31" s="194"/>
      <c r="C31" s="194"/>
      <c r="D31" s="194"/>
      <c r="E31" s="194"/>
      <c r="F31" s="194"/>
      <c r="G31" s="194"/>
      <c r="H31" s="194"/>
      <c r="I31" s="215"/>
      <c r="J31" s="424" t="str">
        <f ca="1">'Sieve Data'!A47</f>
        <v>#140</v>
      </c>
      <c r="K31" s="258">
        <f ca="1">'Sieve Data'!B47</f>
        <v>0.106</v>
      </c>
      <c r="L31" s="177" t="str">
        <f ca="1">'Sieve Data'!S29</f>
        <v/>
      </c>
      <c r="M31" s="182" t="str">
        <f ca="1">IF('Sieve Data'!$AB$1=1, "",'Sieve Data'!AC29)</f>
        <v/>
      </c>
      <c r="N31" s="183" t="str">
        <f ca="1">IF('Sieve Data'!$AB$1=1, "",'Sieve Data'!AD29)</f>
        <v/>
      </c>
      <c r="P31" s="177">
        <f t="shared" si="2"/>
        <v>6.142447333034505E-2</v>
      </c>
      <c r="Q31" s="178">
        <f t="shared" si="0"/>
        <v>129.47279352708762</v>
      </c>
      <c r="R31" s="178">
        <f t="shared" si="3"/>
        <v>2074.1541523039436</v>
      </c>
      <c r="S31" s="179">
        <f t="shared" si="1"/>
        <v>151.41825779728038</v>
      </c>
    </row>
    <row r="32" spans="1:22">
      <c r="A32" s="193"/>
      <c r="B32" s="194"/>
      <c r="C32" s="194"/>
      <c r="D32" s="194"/>
      <c r="E32" s="194"/>
      <c r="F32" s="194"/>
      <c r="G32" s="194"/>
      <c r="H32" s="194"/>
      <c r="I32" s="215"/>
      <c r="J32" s="424" t="str">
        <f ca="1">'Sieve Data'!A48</f>
        <v>#170</v>
      </c>
      <c r="K32" s="258">
        <f ca="1">'Sieve Data'!B48</f>
        <v>0.09</v>
      </c>
      <c r="L32" s="177" t="str">
        <f ca="1">'Sieve Data'!S30</f>
        <v/>
      </c>
      <c r="M32" s="182" t="str">
        <f ca="1">IF('Sieve Data'!$AB$1=1, "",'Sieve Data'!AC30)</f>
        <v/>
      </c>
      <c r="N32" s="183" t="str">
        <f ca="1">IF('Sieve Data'!$AB$1=1, "",'Sieve Data'!AD30)</f>
        <v/>
      </c>
      <c r="P32" s="177">
        <f t="shared" si="2"/>
        <v>6.2424473330345051E-2</v>
      </c>
      <c r="Q32" s="178">
        <f t="shared" si="0"/>
        <v>130.01826041307828</v>
      </c>
      <c r="R32" s="178">
        <f t="shared" si="3"/>
        <v>2082.8925318175138</v>
      </c>
      <c r="S32" s="179">
        <f t="shared" si="1"/>
        <v>151.05189523419628</v>
      </c>
    </row>
    <row r="33" spans="1:19">
      <c r="A33" s="193"/>
      <c r="B33" s="194"/>
      <c r="C33" s="194"/>
      <c r="D33" s="194"/>
      <c r="E33" s="194"/>
      <c r="F33" s="194"/>
      <c r="G33" s="194"/>
      <c r="H33" s="194"/>
      <c r="I33" s="215"/>
      <c r="J33" s="425" t="str">
        <f ca="1">'Sieve Data'!A49</f>
        <v>#200</v>
      </c>
      <c r="K33" s="258">
        <f ca="1">'Sieve Data'!B49</f>
        <v>7.4999999999999997E-2</v>
      </c>
      <c r="L33" s="177" t="str">
        <f ca="1">'Sieve Data'!S31</f>
        <v/>
      </c>
      <c r="M33" s="182" t="str">
        <f ca="1">IF('Sieve Data'!$AB$1=1, "",'Sieve Data'!AC31)</f>
        <v/>
      </c>
      <c r="N33" s="183" t="str">
        <f ca="1">IF('Sieve Data'!$AB$1=1, "",'Sieve Data'!AD31)</f>
        <v/>
      </c>
      <c r="P33" s="177">
        <f t="shared" si="2"/>
        <v>6.3424473330345052E-2</v>
      </c>
      <c r="Q33" s="178">
        <f t="shared" si="0"/>
        <v>130.54537920219514</v>
      </c>
      <c r="R33" s="178">
        <f t="shared" si="3"/>
        <v>2091.3369748191662</v>
      </c>
      <c r="S33" s="179">
        <f t="shared" si="1"/>
        <v>150.68730124986953</v>
      </c>
    </row>
    <row r="34" spans="1:19">
      <c r="A34" s="217"/>
      <c r="B34" s="218"/>
      <c r="C34" s="218"/>
      <c r="D34" s="219"/>
      <c r="E34" s="219"/>
      <c r="F34" s="219"/>
      <c r="G34" s="219"/>
      <c r="H34" s="219"/>
      <c r="I34" s="268"/>
      <c r="J34" s="275" t="s">
        <v>274</v>
      </c>
      <c r="K34" s="189"/>
      <c r="L34" s="189"/>
      <c r="M34" s="276" t="s">
        <v>390</v>
      </c>
      <c r="N34" s="266" t="str">
        <f ca="1">'Sieve Data'!K9</f>
        <v>Yes</v>
      </c>
      <c r="P34" s="177">
        <f t="shared" si="2"/>
        <v>6.4424473330345053E-2</v>
      </c>
      <c r="Q34" s="178">
        <f t="shared" si="0"/>
        <v>131.05414989443818</v>
      </c>
      <c r="R34" s="178">
        <f t="shared" si="3"/>
        <v>2099.4874813088995</v>
      </c>
      <c r="S34" s="179">
        <f t="shared" si="1"/>
        <v>150.32446306868013</v>
      </c>
    </row>
    <row r="35" spans="1:19">
      <c r="A35" s="220"/>
      <c r="B35" s="221"/>
      <c r="C35" s="222"/>
      <c r="D35" s="223"/>
      <c r="E35" s="223"/>
      <c r="F35" s="223"/>
      <c r="G35" s="223"/>
      <c r="H35" s="270"/>
      <c r="I35" s="271"/>
      <c r="J35" s="255" t="str">
        <f ca="1">'Sieve Data'!AG1</f>
        <v xml:space="preserve"> No Specs  </v>
      </c>
      <c r="K35" s="254"/>
      <c r="L35" s="194"/>
      <c r="M35" s="194"/>
      <c r="N35" s="215"/>
      <c r="P35" s="177">
        <f t="shared" si="2"/>
        <v>6.5424473330345054E-2</v>
      </c>
      <c r="Q35" s="178">
        <f t="shared" si="0"/>
        <v>131.54457248980745</v>
      </c>
      <c r="R35" s="178">
        <f t="shared" si="3"/>
        <v>2107.3440512867155</v>
      </c>
      <c r="S35" s="179">
        <f t="shared" si="1"/>
        <v>149.96336803776154</v>
      </c>
    </row>
    <row r="36" spans="1:19">
      <c r="A36" s="220"/>
      <c r="B36" s="221" t="s">
        <v>275</v>
      </c>
      <c r="C36" s="222"/>
      <c r="D36" s="223"/>
      <c r="E36" s="223"/>
      <c r="F36" s="223"/>
      <c r="G36" s="223"/>
      <c r="H36" s="270" t="s">
        <v>388</v>
      </c>
      <c r="I36" s="271" t="e">
        <f>1-L15</f>
        <v>#VALUE!</v>
      </c>
      <c r="J36" s="194"/>
      <c r="K36" s="254"/>
      <c r="L36" s="194"/>
      <c r="M36" s="194"/>
      <c r="N36" s="215"/>
      <c r="P36" s="177">
        <f t="shared" si="2"/>
        <v>6.6424473330345055E-2</v>
      </c>
      <c r="Q36" s="178">
        <f t="shared" si="0"/>
        <v>132.01664698830291</v>
      </c>
      <c r="R36" s="178">
        <f t="shared" si="3"/>
        <v>2114.9066847526124</v>
      </c>
      <c r="S36" s="179">
        <f t="shared" si="1"/>
        <v>149.60400362552994</v>
      </c>
    </row>
    <row r="37" spans="1:19" ht="13.5">
      <c r="A37" s="220"/>
      <c r="B37" s="225" t="s">
        <v>276</v>
      </c>
      <c r="C37" s="330" t="s">
        <v>209</v>
      </c>
      <c r="D37" s="329" t="s">
        <v>269</v>
      </c>
      <c r="E37" s="225" t="s">
        <v>265</v>
      </c>
      <c r="F37" s="331" t="s">
        <v>276</v>
      </c>
      <c r="G37" s="330" t="s">
        <v>209</v>
      </c>
      <c r="H37" s="329" t="s">
        <v>269</v>
      </c>
      <c r="I37" s="327" t="s">
        <v>265</v>
      </c>
      <c r="J37" s="194"/>
      <c r="K37" s="216" t="s">
        <v>211</v>
      </c>
      <c r="L37" s="277">
        <f ca="1">'Sieve Data'!K38</f>
        <v>0</v>
      </c>
      <c r="M37" s="279" t="s">
        <v>393</v>
      </c>
      <c r="N37" s="224">
        <f ca="1">'Sieve Data'!K32</f>
        <v>7.4999999999999997E-3</v>
      </c>
      <c r="P37" s="177">
        <f t="shared" si="2"/>
        <v>6.7424473330345056E-2</v>
      </c>
      <c r="Q37" s="178">
        <f t="shared" si="0"/>
        <v>132.47037338992459</v>
      </c>
      <c r="R37" s="178">
        <f t="shared" si="3"/>
        <v>2122.1753817065919</v>
      </c>
      <c r="S37" s="179">
        <f t="shared" si="1"/>
        <v>149.24635742023452</v>
      </c>
    </row>
    <row r="38" spans="1:19" ht="13.5">
      <c r="A38" s="220"/>
      <c r="B38" s="225" t="s">
        <v>277</v>
      </c>
      <c r="C38" s="164" t="s">
        <v>446</v>
      </c>
      <c r="D38" s="164" t="s">
        <v>447</v>
      </c>
      <c r="E38" s="225" t="s">
        <v>268</v>
      </c>
      <c r="F38" s="331" t="s">
        <v>277</v>
      </c>
      <c r="G38" s="164" t="s">
        <v>446</v>
      </c>
      <c r="H38" s="164" t="s">
        <v>447</v>
      </c>
      <c r="I38" s="327" t="s">
        <v>268</v>
      </c>
      <c r="J38" s="254"/>
      <c r="K38" s="216" t="s">
        <v>213</v>
      </c>
      <c r="L38" s="277">
        <f ca="1">'Sieve Data'!K39</f>
        <v>0</v>
      </c>
      <c r="M38" s="279" t="s">
        <v>394</v>
      </c>
      <c r="N38" s="224">
        <f ca="1">'Sieve Data'!K33</f>
        <v>2.2499999999999999E-2</v>
      </c>
      <c r="P38" s="177">
        <f t="shared" si="2"/>
        <v>6.8424473330345056E-2</v>
      </c>
      <c r="Q38" s="178">
        <f t="shared" si="0"/>
        <v>132.9057516946724</v>
      </c>
      <c r="R38" s="178">
        <f t="shared" si="3"/>
        <v>2129.1501421486519</v>
      </c>
      <c r="S38" s="179">
        <f t="shared" si="1"/>
        <v>148.89041712852841</v>
      </c>
    </row>
    <row r="39" spans="1:19" ht="13.5">
      <c r="A39" s="220"/>
      <c r="B39" s="333">
        <v>0.05</v>
      </c>
      <c r="C39" s="334">
        <f ca="1">IF((1-B39)&gt;=0.7,Dry_Density*Sp.Gr.*62.42/((Dry_Density*(1-(1-B39))+(Sp.Gr.*62.42*(1-B39)))),Dry_Density*Sp.Gr.*62.42/((Dry_Density*(1-0.7)+(Sp.Gr.*62.42*0.7))))</f>
        <v>139.42448325251115</v>
      </c>
      <c r="D39" s="338">
        <f>C39*16.02</f>
        <v>2233.5802217052287</v>
      </c>
      <c r="E39" s="335">
        <f ca="1">((0.005*(B39))+(OptMoist*(1-B39)))</f>
        <v>8.710324966382782E-2</v>
      </c>
      <c r="F39" s="336">
        <v>0.2</v>
      </c>
      <c r="G39" s="334">
        <f ca="1">IF((1-F39)&gt;=0.7,Dry_Density*Sp.Gr.*62.42/((Dry_Density*(1-(1-F39))+(Sp.Gr.*62.42*(1-F39)))),Dry_Density*Sp.Gr.*62.42/((Dry_Density*(1-0.7)+(Sp.Gr.*62.42*0.7))))</f>
        <v>144.35369566860066</v>
      </c>
      <c r="H39" s="338">
        <f>G39*16.02</f>
        <v>2312.5462046109824</v>
      </c>
      <c r="I39" s="337">
        <f ca="1">((0.005*(F39))+(OptMoist*(1-F39)))</f>
        <v>7.4139578664276062E-2</v>
      </c>
      <c r="J39" s="254"/>
      <c r="K39" s="216" t="s">
        <v>400</v>
      </c>
      <c r="L39" s="277">
        <f ca="1">'Sieve Data'!K40</f>
        <v>1</v>
      </c>
      <c r="M39" s="279" t="s">
        <v>395</v>
      </c>
      <c r="N39" s="224">
        <f ca="1">'Sieve Data'!K34</f>
        <v>4.4999999999999998E-2</v>
      </c>
      <c r="P39" s="177">
        <f t="shared" si="2"/>
        <v>6.9424473330345057E-2</v>
      </c>
      <c r="Q39" s="178">
        <f t="shared" si="0"/>
        <v>133.32278190254647</v>
      </c>
      <c r="R39" s="178">
        <f t="shared" si="3"/>
        <v>2135.8309660787945</v>
      </c>
      <c r="S39" s="179">
        <f t="shared" si="1"/>
        <v>148.53617057406026</v>
      </c>
    </row>
    <row r="40" spans="1:19" ht="12.75">
      <c r="A40" s="220"/>
      <c r="B40" s="226">
        <v>0.1</v>
      </c>
      <c r="C40" s="227">
        <f ca="1">IF((1-B40)&gt;=0.7,Dry_Density*Sp.Gr.*62.42/((Dry_Density*(1-(1-B40))+(Sp.Gr.*62.42*(1-B40)))),Dry_Density*Sp.Gr.*62.42/((Dry_Density*(1-0.7)+(Sp.Gr.*62.42*0.7))))</f>
        <v>141.02971971058557</v>
      </c>
      <c r="D40" s="323">
        <f>C40*16.02</f>
        <v>2259.2961097635807</v>
      </c>
      <c r="E40" s="228">
        <f ca="1">((0.005*(B40))+(OptMoist*(1-B40)))</f>
        <v>8.2782025997310577E-2</v>
      </c>
      <c r="F40" s="332">
        <v>0.25</v>
      </c>
      <c r="G40" s="227">
        <f ca="1">IF((1-F40)&gt;=0.7,Dry_Density*Sp.Gr.*62.42/((Dry_Density*(1-(1-F40))+(Sp.Gr.*62.42*(1-F40)))),Dry_Density*Sp.Gr.*62.42/((Dry_Density*(1-0.7)+(Sp.Gr.*62.42*0.7))))</f>
        <v>146.07514226133566</v>
      </c>
      <c r="H40" s="323">
        <f>G40*16.02</f>
        <v>2340.1237790265973</v>
      </c>
      <c r="I40" s="328">
        <f ca="1">((0.005*(F40))+(OptMoist*(1-F40)))</f>
        <v>6.9818354997758805E-2</v>
      </c>
      <c r="J40" s="254"/>
      <c r="K40" s="216" t="s">
        <v>391</v>
      </c>
      <c r="L40" s="278">
        <f ca="1">'Sieve Data'!K35</f>
        <v>1.5</v>
      </c>
      <c r="M40" s="216" t="s">
        <v>396</v>
      </c>
      <c r="N40" s="229">
        <f ca="1">'Sieve Data'!K26</f>
        <v>0</v>
      </c>
      <c r="P40" s="177">
        <f t="shared" si="2"/>
        <v>7.0424473330345058E-2</v>
      </c>
      <c r="Q40" s="178">
        <f t="shared" si="0"/>
        <v>133.72146401354672</v>
      </c>
      <c r="R40" s="178">
        <f t="shared" si="3"/>
        <v>2142.2178534970185</v>
      </c>
      <c r="S40" s="179">
        <f t="shared" si="1"/>
        <v>148.18360569608569</v>
      </c>
    </row>
    <row r="41" spans="1:19" ht="12.75">
      <c r="A41" s="220"/>
      <c r="B41" s="226">
        <v>0.15</v>
      </c>
      <c r="C41" s="227">
        <f ca="1">IF((1-B41)&gt;=0.7,Dry_Density*Sp.Gr.*62.42/((Dry_Density*(1-(1-B41))+(Sp.Gr.*62.42*(1-B41)))),Dry_Density*Sp.Gr.*62.42/((Dry_Density*(1-0.7)+(Sp.Gr.*62.42*0.7))))</f>
        <v>142.67234984401756</v>
      </c>
      <c r="D41" s="323">
        <f>C41*16.02</f>
        <v>2285.6110445011614</v>
      </c>
      <c r="E41" s="228">
        <f ca="1">((0.005*(B41))+(OptMoist*(1-B41)))</f>
        <v>7.8460802330793319E-2</v>
      </c>
      <c r="F41" s="332">
        <v>0.3</v>
      </c>
      <c r="G41" s="227">
        <f ca="1">IF((1-F41)&gt;=0.7,Dry_Density*Sp.Gr.*62.42/((Dry_Density*(1-(1-F41))+(Sp.Gr.*62.42*(1-F41)))),Dry_Density*Sp.Gr.*62.42/((Dry_Density*(1-0.7)+(Sp.Gr.*62.42*0.7))))</f>
        <v>147.83814156589901</v>
      </c>
      <c r="H41" s="323">
        <f>G41*16.02</f>
        <v>2368.3670278857021</v>
      </c>
      <c r="I41" s="328">
        <f ca="1">((0.005*(F41))+(OptMoist*(1-F41)))</f>
        <v>6.5497131331241548E-2</v>
      </c>
      <c r="J41" s="254"/>
      <c r="K41" s="216" t="s">
        <v>392</v>
      </c>
      <c r="L41" s="278">
        <f ca="1">'Sieve Data'!K36</f>
        <v>6</v>
      </c>
      <c r="M41" s="216" t="s">
        <v>397</v>
      </c>
      <c r="N41" s="229">
        <f ca="1">'Sieve Data'!K27</f>
        <v>0</v>
      </c>
      <c r="P41" s="177">
        <f t="shared" si="2"/>
        <v>7.1424473330345059E-2</v>
      </c>
      <c r="Q41" s="178">
        <f t="shared" si="0"/>
        <v>134.1017980276732</v>
      </c>
      <c r="R41" s="178">
        <f t="shared" si="3"/>
        <v>2148.3108044033247</v>
      </c>
      <c r="S41" s="179">
        <f t="shared" si="1"/>
        <v>147.83271054809848</v>
      </c>
    </row>
    <row r="42" spans="1:19">
      <c r="A42" s="220"/>
      <c r="B42" s="221"/>
      <c r="C42" s="222"/>
      <c r="D42" s="223"/>
      <c r="E42" s="223"/>
      <c r="F42" s="223"/>
      <c r="G42" s="223"/>
      <c r="H42" s="270"/>
      <c r="I42" s="271"/>
      <c r="J42" s="254"/>
      <c r="K42" s="216" t="s">
        <v>399</v>
      </c>
      <c r="L42" s="278">
        <f ca="1">'Sieve Data'!K30</f>
        <v>0</v>
      </c>
      <c r="M42" s="216" t="s">
        <v>398</v>
      </c>
      <c r="N42" s="229">
        <f ca="1">'Sieve Data'!K28</f>
        <v>0</v>
      </c>
      <c r="P42" s="177">
        <f t="shared" si="2"/>
        <v>7.242447333034506E-2</v>
      </c>
      <c r="Q42" s="178">
        <f t="shared" si="0"/>
        <v>134.46378394492584</v>
      </c>
      <c r="R42" s="178">
        <f t="shared" si="3"/>
        <v>2154.1098187977118</v>
      </c>
      <c r="S42" s="179">
        <f t="shared" si="1"/>
        <v>147.48347329648118</v>
      </c>
    </row>
    <row r="43" spans="1:19" ht="12" thickBot="1">
      <c r="A43" s="230"/>
      <c r="B43" s="272" t="s">
        <v>0</v>
      </c>
      <c r="C43" s="273" t="s">
        <v>474</v>
      </c>
      <c r="D43" s="231"/>
      <c r="E43" s="232"/>
      <c r="F43" s="233"/>
      <c r="G43" s="234"/>
      <c r="H43" s="234"/>
      <c r="I43" s="269"/>
      <c r="J43" s="235"/>
      <c r="K43" s="235"/>
      <c r="L43" s="235"/>
      <c r="M43" s="235"/>
      <c r="N43" s="236"/>
      <c r="P43" s="177">
        <f t="shared" si="2"/>
        <v>7.3424473330345061E-2</v>
      </c>
      <c r="Q43" s="178">
        <f t="shared" si="0"/>
        <v>134.8074217653047</v>
      </c>
      <c r="R43" s="178">
        <f t="shared" si="3"/>
        <v>2159.6148966801811</v>
      </c>
      <c r="S43" s="179">
        <f t="shared" si="1"/>
        <v>147.13588221917499</v>
      </c>
    </row>
    <row r="44" spans="1:19" ht="12" thickTop="1">
      <c r="B44" s="157"/>
      <c r="C44" s="158"/>
      <c r="P44" s="177">
        <f t="shared" si="2"/>
        <v>7.4424473330345062E-2</v>
      </c>
      <c r="Q44" s="178">
        <f t="shared" si="0"/>
        <v>135.13271148880975</v>
      </c>
      <c r="R44" s="178">
        <f t="shared" si="3"/>
        <v>2164.8260380507322</v>
      </c>
      <c r="S44" s="179">
        <f t="shared" si="1"/>
        <v>146.78992570436802</v>
      </c>
    </row>
    <row r="45" spans="1:19">
      <c r="P45" s="177">
        <f t="shared" si="2"/>
        <v>7.5424473330345063E-2</v>
      </c>
      <c r="Q45" s="178">
        <f t="shared" si="0"/>
        <v>135.43965311544099</v>
      </c>
      <c r="R45" s="178">
        <f t="shared" si="3"/>
        <v>2169.7432429093647</v>
      </c>
      <c r="S45" s="179">
        <f t="shared" si="1"/>
        <v>146.44559224920235</v>
      </c>
    </row>
    <row r="46" spans="1:19">
      <c r="P46" s="177">
        <f t="shared" si="2"/>
        <v>7.6424473330345064E-2</v>
      </c>
      <c r="Q46" s="178">
        <f t="shared" si="0"/>
        <v>135.72824664519842</v>
      </c>
      <c r="R46" s="178">
        <f t="shared" si="3"/>
        <v>2174.3665112560789</v>
      </c>
      <c r="S46" s="179">
        <f t="shared" si="1"/>
        <v>146.1028704584991</v>
      </c>
    </row>
    <row r="47" spans="1:19">
      <c r="P47" s="177">
        <f t="shared" si="2"/>
        <v>7.7424473330345064E-2</v>
      </c>
      <c r="Q47" s="178">
        <f t="shared" si="0"/>
        <v>135.99849207808208</v>
      </c>
      <c r="R47" s="178">
        <f t="shared" si="3"/>
        <v>2178.6958430908749</v>
      </c>
      <c r="S47" s="179">
        <f t="shared" si="1"/>
        <v>145.7617490435014</v>
      </c>
    </row>
    <row r="48" spans="1:19">
      <c r="P48" s="177">
        <f t="shared" si="2"/>
        <v>7.8424473330345065E-2</v>
      </c>
      <c r="Q48" s="178">
        <f t="shared" si="0"/>
        <v>136.25038941409193</v>
      </c>
      <c r="R48" s="178">
        <f t="shared" si="3"/>
        <v>2182.7312384137526</v>
      </c>
      <c r="S48" s="179">
        <f t="shared" si="1"/>
        <v>145.42221682063482</v>
      </c>
    </row>
    <row r="49" spans="10:19">
      <c r="P49" s="177">
        <f t="shared" si="2"/>
        <v>7.9424473330345066E-2</v>
      </c>
      <c r="Q49" s="178">
        <f t="shared" si="0"/>
        <v>136.48393865322797</v>
      </c>
      <c r="R49" s="178">
        <f t="shared" si="3"/>
        <v>2186.4726972247117</v>
      </c>
      <c r="S49" s="179">
        <f t="shared" si="1"/>
        <v>145.08426271028537</v>
      </c>
    </row>
    <row r="50" spans="10:19">
      <c r="P50" s="177">
        <f t="shared" si="2"/>
        <v>8.0424473330345067E-2</v>
      </c>
      <c r="Q50" s="178">
        <f t="shared" si="0"/>
        <v>136.69913979549023</v>
      </c>
      <c r="R50" s="178">
        <f t="shared" si="3"/>
        <v>2189.9202195237535</v>
      </c>
      <c r="S50" s="179">
        <f t="shared" si="1"/>
        <v>144.74787573559405</v>
      </c>
    </row>
    <row r="51" spans="10:19">
      <c r="P51" s="177">
        <f t="shared" si="2"/>
        <v>8.1424473330345068E-2</v>
      </c>
      <c r="Q51" s="178">
        <f t="shared" si="0"/>
        <v>136.89599284087865</v>
      </c>
      <c r="R51" s="178">
        <f t="shared" si="3"/>
        <v>2193.0738053108757</v>
      </c>
      <c r="S51" s="179">
        <f t="shared" si="1"/>
        <v>144.4130450212686</v>
      </c>
    </row>
    <row r="52" spans="10:19">
      <c r="P52" s="177">
        <f t="shared" si="2"/>
        <v>8.2424473330345069E-2</v>
      </c>
      <c r="Q52" s="178">
        <f t="shared" si="0"/>
        <v>137.07449778939332</v>
      </c>
      <c r="R52" s="178">
        <f t="shared" si="3"/>
        <v>2195.9334545860811</v>
      </c>
      <c r="S52" s="179">
        <f t="shared" si="1"/>
        <v>144.07975979241141</v>
      </c>
    </row>
    <row r="53" spans="10:19">
      <c r="P53" s="177">
        <f t="shared" si="2"/>
        <v>8.342447333034507E-2</v>
      </c>
      <c r="Q53" s="178">
        <f t="shared" si="0"/>
        <v>137.23465464103413</v>
      </c>
      <c r="R53" s="178">
        <f t="shared" si="3"/>
        <v>2198.4991673493664</v>
      </c>
      <c r="S53" s="179">
        <f t="shared" si="1"/>
        <v>143.74800937336363</v>
      </c>
    </row>
    <row r="54" spans="10:19">
      <c r="P54" s="177">
        <f t="shared" si="2"/>
        <v>8.4424473330345071E-2</v>
      </c>
      <c r="Q54" s="178">
        <f t="shared" si="0"/>
        <v>137.37646339580115</v>
      </c>
      <c r="R54" s="178">
        <f t="shared" si="3"/>
        <v>2200.7709436007344</v>
      </c>
      <c r="S54" s="179">
        <f t="shared" si="1"/>
        <v>143.41778318656546</v>
      </c>
    </row>
    <row r="55" spans="10:19">
      <c r="P55" s="177">
        <f t="shared" si="2"/>
        <v>8.5424473330345072E-2</v>
      </c>
      <c r="Q55" s="178">
        <f t="shared" si="0"/>
        <v>137.4999240536944</v>
      </c>
      <c r="R55" s="178">
        <f t="shared" si="3"/>
        <v>2202.7487833401842</v>
      </c>
      <c r="S55" s="179">
        <f t="shared" si="1"/>
        <v>143.08907075143182</v>
      </c>
    </row>
    <row r="56" spans="10:19">
      <c r="P56" s="177">
        <f t="shared" si="2"/>
        <v>8.6424473330345072E-2</v>
      </c>
      <c r="Q56" s="178">
        <f t="shared" si="0"/>
        <v>137.60503661471384</v>
      </c>
      <c r="R56" s="178">
        <f t="shared" si="3"/>
        <v>2204.4326865677158</v>
      </c>
      <c r="S56" s="179">
        <f t="shared" si="1"/>
        <v>142.76186168324344</v>
      </c>
    </row>
    <row r="57" spans="10:19">
      <c r="P57" s="177">
        <f t="shared" si="2"/>
        <v>8.7424473330345073E-2</v>
      </c>
      <c r="Q57" s="178">
        <f t="shared" si="0"/>
        <v>137.69180107885947</v>
      </c>
      <c r="R57" s="178">
        <f t="shared" si="3"/>
        <v>2205.8226532833287</v>
      </c>
      <c r="S57" s="179">
        <f t="shared" si="1"/>
        <v>142.43614569205357</v>
      </c>
    </row>
    <row r="58" spans="10:19">
      <c r="P58" s="177">
        <f t="shared" si="2"/>
        <v>8.8424473330345074E-2</v>
      </c>
      <c r="Q58" s="178">
        <f t="shared" si="0"/>
        <v>137.76021744613132</v>
      </c>
      <c r="R58" s="178">
        <f t="shared" si="3"/>
        <v>2206.9186834870238</v>
      </c>
      <c r="S58" s="179">
        <f t="shared" si="1"/>
        <v>142.11191258160906</v>
      </c>
    </row>
    <row r="59" spans="10:19">
      <c r="P59" s="177">
        <f t="shared" si="2"/>
        <v>8.9424473330345075E-2</v>
      </c>
      <c r="Q59" s="178">
        <f t="shared" si="0"/>
        <v>137.81028571652934</v>
      </c>
      <c r="R59" s="178">
        <f t="shared" si="3"/>
        <v>2207.7207771787998</v>
      </c>
      <c r="S59" s="179">
        <f t="shared" si="1"/>
        <v>141.78915224828648</v>
      </c>
    </row>
    <row r="60" spans="10:19">
      <c r="J60" s="147" t="s">
        <v>220</v>
      </c>
      <c r="P60" s="177">
        <f t="shared" si="2"/>
        <v>9.0424473330345076E-2</v>
      </c>
      <c r="Q60" s="178">
        <f t="shared" si="0"/>
        <v>137.84200589005357</v>
      </c>
      <c r="R60" s="178">
        <f t="shared" si="3"/>
        <v>2208.2289343586581</v>
      </c>
      <c r="S60" s="179">
        <f t="shared" si="1"/>
        <v>141.46785468004256</v>
      </c>
    </row>
    <row r="61" spans="10:19">
      <c r="P61" s="177">
        <f t="shared" si="2"/>
        <v>9.1424473330345077E-2</v>
      </c>
      <c r="Q61" s="178">
        <f t="shared" si="0"/>
        <v>137.855377966704</v>
      </c>
      <c r="R61" s="178">
        <f t="shared" si="3"/>
        <v>2208.4431550265981</v>
      </c>
      <c r="S61" s="179">
        <f t="shared" si="1"/>
        <v>141.14800995537902</v>
      </c>
    </row>
    <row r="62" spans="10:19">
      <c r="P62" s="177">
        <f t="shared" si="2"/>
        <v>9.2424473330345078E-2</v>
      </c>
      <c r="Q62" s="178">
        <f t="shared" si="0"/>
        <v>137.85040194648059</v>
      </c>
      <c r="R62" s="178">
        <f t="shared" si="3"/>
        <v>2208.363439182619</v>
      </c>
      <c r="S62" s="179">
        <f t="shared" si="1"/>
        <v>140.8296082423212</v>
      </c>
    </row>
    <row r="63" spans="10:19">
      <c r="P63" s="177">
        <f t="shared" si="2"/>
        <v>9.3424473330345079E-2</v>
      </c>
      <c r="Q63" s="178">
        <f t="shared" si="0"/>
        <v>137.82707782938343</v>
      </c>
      <c r="R63" s="178">
        <f t="shared" si="3"/>
        <v>2207.9897868267226</v>
      </c>
      <c r="S63" s="179">
        <f t="shared" si="1"/>
        <v>140.51263979741069</v>
      </c>
    </row>
    <row r="64" spans="10:19">
      <c r="P64" s="177">
        <f t="shared" si="2"/>
        <v>9.442447333034508E-2</v>
      </c>
      <c r="Q64" s="178">
        <f t="shared" si="0"/>
        <v>137.78540561541246</v>
      </c>
      <c r="R64" s="178">
        <f t="shared" si="3"/>
        <v>2207.3221979589075</v>
      </c>
      <c r="S64" s="179">
        <f t="shared" si="1"/>
        <v>140.19709496471134</v>
      </c>
    </row>
    <row r="65" spans="16:19">
      <c r="P65" s="177">
        <f t="shared" si="2"/>
        <v>9.542447333034508E-2</v>
      </c>
      <c r="Q65" s="178">
        <f t="shared" si="0"/>
        <v>137.72538530456768</v>
      </c>
      <c r="R65" s="178">
        <f t="shared" si="3"/>
        <v>2206.3606725791742</v>
      </c>
      <c r="S65" s="179">
        <f t="shared" si="1"/>
        <v>139.88296417482886</v>
      </c>
    </row>
    <row r="66" spans="16:19">
      <c r="P66" s="177">
        <f t="shared" si="2"/>
        <v>9.6424473330345081E-2</v>
      </c>
      <c r="Q66" s="178">
        <f t="shared" si="0"/>
        <v>137.6470168968491</v>
      </c>
      <c r="R66" s="178">
        <f t="shared" si="3"/>
        <v>2205.1052106875222</v>
      </c>
      <c r="S66" s="179">
        <f t="shared" si="1"/>
        <v>139.57023794394334</v>
      </c>
    </row>
    <row r="67" spans="16:19">
      <c r="P67" s="177">
        <f t="shared" si="2"/>
        <v>9.7424473330345082E-2</v>
      </c>
      <c r="Q67" s="178">
        <f t="shared" ref="Q67:Q130" si="4">$V$10*P67^2+$V$9*P67+$V$8</f>
        <v>137.55030039225676</v>
      </c>
      <c r="R67" s="178">
        <f t="shared" si="3"/>
        <v>2203.5558122839534</v>
      </c>
      <c r="S67" s="179">
        <f t="shared" ref="S67:S130" si="5">(62.43*$B$13)/(P67*$B$13+1)</f>
        <v>139.25890687285479</v>
      </c>
    </row>
    <row r="68" spans="16:19">
      <c r="P68" s="177">
        <f t="shared" ref="P68:P131" si="6">P67+0.001</f>
        <v>9.8424473330345083E-2</v>
      </c>
      <c r="Q68" s="178">
        <f t="shared" si="4"/>
        <v>137.43523579079056</v>
      </c>
      <c r="R68" s="178">
        <f t="shared" ref="R68:R131" si="7">Q68*16.02</f>
        <v>2201.7124773684645</v>
      </c>
      <c r="S68" s="179">
        <f t="shared" si="5"/>
        <v>138.94896164604162</v>
      </c>
    </row>
    <row r="69" spans="16:19">
      <c r="P69" s="177">
        <f t="shared" si="6"/>
        <v>9.9424473330345084E-2</v>
      </c>
      <c r="Q69" s="178">
        <f t="shared" si="4"/>
        <v>137.3018230924506</v>
      </c>
      <c r="R69" s="178">
        <f t="shared" si="7"/>
        <v>2199.5752059410588</v>
      </c>
      <c r="S69" s="179">
        <f t="shared" si="5"/>
        <v>138.64039303073136</v>
      </c>
    </row>
    <row r="70" spans="16:19">
      <c r="P70" s="177">
        <f t="shared" si="6"/>
        <v>0.10042447333034508</v>
      </c>
      <c r="Q70" s="178">
        <f t="shared" si="4"/>
        <v>137.15006229723679</v>
      </c>
      <c r="R70" s="178">
        <f t="shared" si="7"/>
        <v>2197.1439980017331</v>
      </c>
      <c r="S70" s="179">
        <f t="shared" si="5"/>
        <v>138.33319187598391</v>
      </c>
    </row>
    <row r="71" spans="16:19">
      <c r="P71" s="177">
        <f t="shared" si="6"/>
        <v>0.10142447333034509</v>
      </c>
      <c r="Q71" s="178">
        <f t="shared" si="4"/>
        <v>136.97995340514919</v>
      </c>
      <c r="R71" s="178">
        <f t="shared" si="7"/>
        <v>2194.41885355049</v>
      </c>
      <c r="S71" s="179">
        <f t="shared" si="5"/>
        <v>138.027349111787</v>
      </c>
    </row>
    <row r="72" spans="16:19">
      <c r="P72" s="177">
        <f t="shared" si="6"/>
        <v>0.10242447333034509</v>
      </c>
      <c r="Q72" s="178">
        <f t="shared" si="4"/>
        <v>136.79149641618781</v>
      </c>
      <c r="R72" s="178">
        <f t="shared" si="7"/>
        <v>2191.3997725873287</v>
      </c>
      <c r="S72" s="179">
        <f t="shared" si="5"/>
        <v>137.72285574816334</v>
      </c>
    </row>
    <row r="73" spans="16:19">
      <c r="P73" s="177">
        <f t="shared" si="6"/>
        <v>0.10342447333034509</v>
      </c>
      <c r="Q73" s="178">
        <f t="shared" si="4"/>
        <v>136.58469133035263</v>
      </c>
      <c r="R73" s="178">
        <f t="shared" si="7"/>
        <v>2188.0867551122492</v>
      </c>
      <c r="S73" s="179">
        <f t="shared" si="5"/>
        <v>137.41970287429004</v>
      </c>
    </row>
    <row r="74" spans="16:19">
      <c r="P74" s="177">
        <f t="shared" si="6"/>
        <v>0.10442447333034509</v>
      </c>
      <c r="Q74" s="178">
        <f t="shared" si="4"/>
        <v>136.35953814764366</v>
      </c>
      <c r="R74" s="178">
        <f t="shared" si="7"/>
        <v>2184.4798011252515</v>
      </c>
      <c r="S74" s="179">
        <f t="shared" si="5"/>
        <v>137.11788165762908</v>
      </c>
    </row>
    <row r="75" spans="16:19">
      <c r="P75" s="177">
        <f t="shared" si="6"/>
        <v>0.10542447333034509</v>
      </c>
      <c r="Q75" s="178">
        <f t="shared" si="4"/>
        <v>136.11603686806086</v>
      </c>
      <c r="R75" s="178">
        <f t="shared" si="7"/>
        <v>2180.5789106263351</v>
      </c>
      <c r="S75" s="179">
        <f t="shared" si="5"/>
        <v>136.81738334306971</v>
      </c>
    </row>
    <row r="76" spans="16:19">
      <c r="P76" s="177">
        <f t="shared" si="6"/>
        <v>0.10642447333034509</v>
      </c>
      <c r="Q76" s="178">
        <f t="shared" si="4"/>
        <v>135.85418749160428</v>
      </c>
      <c r="R76" s="178">
        <f t="shared" si="7"/>
        <v>2176.3840836155005</v>
      </c>
      <c r="S76" s="179">
        <f t="shared" si="5"/>
        <v>136.51819925208176</v>
      </c>
    </row>
    <row r="77" spans="16:19">
      <c r="P77" s="177">
        <f t="shared" si="6"/>
        <v>0.10742447333034509</v>
      </c>
      <c r="Q77" s="178">
        <f t="shared" si="4"/>
        <v>135.57399001827389</v>
      </c>
      <c r="R77" s="178">
        <f t="shared" si="7"/>
        <v>2171.8953200927476</v>
      </c>
      <c r="S77" s="179">
        <f t="shared" si="5"/>
        <v>136.22032078188019</v>
      </c>
    </row>
    <row r="78" spans="16:19">
      <c r="P78" s="177">
        <f t="shared" si="6"/>
        <v>0.10842447333034509</v>
      </c>
      <c r="Q78" s="178">
        <f t="shared" si="4"/>
        <v>135.27544444806969</v>
      </c>
      <c r="R78" s="178">
        <f t="shared" si="7"/>
        <v>2167.1126200580766</v>
      </c>
      <c r="S78" s="179">
        <f t="shared" si="5"/>
        <v>135.92373940460055</v>
      </c>
    </row>
    <row r="79" spans="16:19">
      <c r="P79" s="177">
        <f t="shared" si="6"/>
        <v>0.10942447333034509</v>
      </c>
      <c r="Q79" s="178">
        <f t="shared" si="4"/>
        <v>134.95855078099169</v>
      </c>
      <c r="R79" s="178">
        <f t="shared" si="7"/>
        <v>2162.0359835114868</v>
      </c>
      <c r="S79" s="179">
        <f t="shared" si="5"/>
        <v>135.62844666648513</v>
      </c>
    </row>
    <row r="80" spans="16:19">
      <c r="P80" s="177">
        <f t="shared" si="6"/>
        <v>0.11042447333034509</v>
      </c>
      <c r="Q80" s="178">
        <f t="shared" si="4"/>
        <v>134.6233090170399</v>
      </c>
      <c r="R80" s="178">
        <f t="shared" si="7"/>
        <v>2156.6654104529794</v>
      </c>
      <c r="S80" s="179">
        <f t="shared" si="5"/>
        <v>135.33443418707969</v>
      </c>
    </row>
    <row r="81" spans="16:19">
      <c r="P81" s="177">
        <f t="shared" si="6"/>
        <v>0.11142447333034509</v>
      </c>
      <c r="Q81" s="178">
        <f t="shared" si="4"/>
        <v>134.26971915621431</v>
      </c>
      <c r="R81" s="178">
        <f t="shared" si="7"/>
        <v>2151.0009008825532</v>
      </c>
      <c r="S81" s="179">
        <f t="shared" si="5"/>
        <v>135.04169365844072</v>
      </c>
    </row>
    <row r="82" spans="16:19">
      <c r="P82" s="177">
        <f t="shared" si="6"/>
        <v>0.1124244733303451</v>
      </c>
      <c r="Q82" s="178">
        <f t="shared" si="4"/>
        <v>133.89778119851491</v>
      </c>
      <c r="R82" s="178">
        <f t="shared" si="7"/>
        <v>2145.0424548002088</v>
      </c>
      <c r="S82" s="179">
        <f t="shared" si="5"/>
        <v>134.75021684435291</v>
      </c>
    </row>
    <row r="83" spans="16:19">
      <c r="P83" s="177">
        <f t="shared" si="6"/>
        <v>0.1134244733303451</v>
      </c>
      <c r="Q83" s="178">
        <f t="shared" si="4"/>
        <v>133.5074951439417</v>
      </c>
      <c r="R83" s="178">
        <f t="shared" si="7"/>
        <v>2138.7900722059458</v>
      </c>
      <c r="S83" s="179">
        <f t="shared" si="5"/>
        <v>134.45999557955656</v>
      </c>
    </row>
    <row r="84" spans="16:19">
      <c r="P84" s="177">
        <f t="shared" si="6"/>
        <v>0.1144244733303451</v>
      </c>
      <c r="Q84" s="178">
        <f t="shared" si="4"/>
        <v>133.09886099249471</v>
      </c>
      <c r="R84" s="178">
        <f t="shared" si="7"/>
        <v>2132.2437530997649</v>
      </c>
      <c r="S84" s="179">
        <f t="shared" si="5"/>
        <v>134.17102176898533</v>
      </c>
    </row>
    <row r="85" spans="16:19">
      <c r="P85" s="177">
        <f t="shared" si="6"/>
        <v>0.1154244733303451</v>
      </c>
      <c r="Q85" s="178">
        <f t="shared" si="4"/>
        <v>132.67187874417391</v>
      </c>
      <c r="R85" s="178">
        <f t="shared" si="7"/>
        <v>2125.4034974816659</v>
      </c>
      <c r="S85" s="179">
        <f t="shared" si="5"/>
        <v>133.88328738701341</v>
      </c>
    </row>
    <row r="86" spans="16:19">
      <c r="P86" s="177">
        <f t="shared" si="6"/>
        <v>0.1164244733303451</v>
      </c>
      <c r="Q86" s="178">
        <f t="shared" si="4"/>
        <v>132.22654839897933</v>
      </c>
      <c r="R86" s="178">
        <f t="shared" si="7"/>
        <v>2118.2693053516487</v>
      </c>
      <c r="S86" s="179">
        <f t="shared" si="5"/>
        <v>133.59678447671266</v>
      </c>
    </row>
    <row r="87" spans="16:19">
      <c r="P87" s="177">
        <f t="shared" si="6"/>
        <v>0.1174244733303451</v>
      </c>
      <c r="Q87" s="178">
        <f t="shared" si="4"/>
        <v>131.76286995691089</v>
      </c>
      <c r="R87" s="178">
        <f t="shared" si="7"/>
        <v>2110.8411767097123</v>
      </c>
      <c r="S87" s="179">
        <f t="shared" si="5"/>
        <v>133.31150514911897</v>
      </c>
    </row>
    <row r="88" spans="16:19">
      <c r="P88" s="177">
        <f t="shared" si="6"/>
        <v>0.1184244733303451</v>
      </c>
      <c r="Q88" s="178">
        <f t="shared" si="4"/>
        <v>131.2808434179687</v>
      </c>
      <c r="R88" s="178">
        <f t="shared" si="7"/>
        <v>2103.1191115558586</v>
      </c>
      <c r="S88" s="179">
        <f t="shared" si="5"/>
        <v>133.02744158250837</v>
      </c>
    </row>
    <row r="89" spans="16:19">
      <c r="P89" s="177">
        <f t="shared" si="6"/>
        <v>0.1194244733303451</v>
      </c>
      <c r="Q89" s="178">
        <f t="shared" si="4"/>
        <v>130.78046878215267</v>
      </c>
      <c r="R89" s="178">
        <f t="shared" si="7"/>
        <v>2095.1031098900858</v>
      </c>
      <c r="S89" s="179">
        <f t="shared" si="5"/>
        <v>132.74458602168193</v>
      </c>
    </row>
    <row r="90" spans="16:19">
      <c r="P90" s="177">
        <f t="shared" si="6"/>
        <v>0.1204244733303451</v>
      </c>
      <c r="Q90" s="178">
        <f t="shared" si="4"/>
        <v>130.26174604946289</v>
      </c>
      <c r="R90" s="178">
        <f t="shared" si="7"/>
        <v>2086.7931717123952</v>
      </c>
      <c r="S90" s="179">
        <f t="shared" si="5"/>
        <v>132.46293077726025</v>
      </c>
    </row>
    <row r="91" spans="16:19">
      <c r="P91" s="177">
        <f t="shared" si="6"/>
        <v>0.1214244733303451</v>
      </c>
      <c r="Q91" s="178">
        <f t="shared" si="4"/>
        <v>129.72467521989927</v>
      </c>
      <c r="R91" s="178">
        <f t="shared" si="7"/>
        <v>2078.1892970227864</v>
      </c>
      <c r="S91" s="179">
        <f t="shared" si="5"/>
        <v>132.18246822498642</v>
      </c>
    </row>
    <row r="92" spans="16:19">
      <c r="P92" s="177">
        <f t="shared" si="6"/>
        <v>0.1224244733303451</v>
      </c>
      <c r="Q92" s="178">
        <f t="shared" si="4"/>
        <v>129.16925629346187</v>
      </c>
      <c r="R92" s="178">
        <f t="shared" si="7"/>
        <v>2069.2914858212589</v>
      </c>
      <c r="S92" s="179">
        <f t="shared" si="5"/>
        <v>131.90319080503832</v>
      </c>
    </row>
    <row r="93" spans="16:19">
      <c r="P93" s="177">
        <f t="shared" si="6"/>
        <v>0.12342447333034511</v>
      </c>
      <c r="Q93" s="178">
        <f t="shared" si="4"/>
        <v>128.59548927015067</v>
      </c>
      <c r="R93" s="178">
        <f t="shared" si="7"/>
        <v>2060.0997381078137</v>
      </c>
      <c r="S93" s="179">
        <f t="shared" si="5"/>
        <v>131.62509102134908</v>
      </c>
    </row>
    <row r="94" spans="16:19">
      <c r="P94" s="177">
        <f t="shared" si="6"/>
        <v>0.12442447333034511</v>
      </c>
      <c r="Q94" s="178">
        <f t="shared" si="4"/>
        <v>128.00337414996565</v>
      </c>
      <c r="R94" s="178">
        <f t="shared" si="7"/>
        <v>2050.6140538824498</v>
      </c>
      <c r="S94" s="179">
        <f t="shared" si="5"/>
        <v>131.34816144093662</v>
      </c>
    </row>
    <row r="95" spans="16:19">
      <c r="P95" s="177">
        <f t="shared" si="6"/>
        <v>0.12542447333034509</v>
      </c>
      <c r="Q95" s="178">
        <f t="shared" si="4"/>
        <v>127.39291093290686</v>
      </c>
      <c r="R95" s="178">
        <f t="shared" si="7"/>
        <v>2040.8344331451678</v>
      </c>
      <c r="S95" s="179">
        <f t="shared" si="5"/>
        <v>131.07239469324131</v>
      </c>
    </row>
    <row r="96" spans="16:19">
      <c r="P96" s="177">
        <f t="shared" si="6"/>
        <v>0.12642447333034509</v>
      </c>
      <c r="Q96" s="178">
        <f t="shared" si="4"/>
        <v>126.76409961897423</v>
      </c>
      <c r="R96" s="178">
        <f t="shared" si="7"/>
        <v>2030.760875895967</v>
      </c>
      <c r="S96" s="179">
        <f t="shared" si="5"/>
        <v>130.79778346947211</v>
      </c>
    </row>
    <row r="97" spans="16:19">
      <c r="P97" s="177">
        <f t="shared" si="6"/>
        <v>0.12742447333034509</v>
      </c>
      <c r="Q97" s="178">
        <f t="shared" si="4"/>
        <v>126.11694020816782</v>
      </c>
      <c r="R97" s="178">
        <f t="shared" si="7"/>
        <v>2020.3933821348485</v>
      </c>
      <c r="S97" s="179">
        <f t="shared" si="5"/>
        <v>130.52432052196079</v>
      </c>
    </row>
    <row r="98" spans="16:19">
      <c r="P98" s="177">
        <f t="shared" si="6"/>
        <v>0.1284244733303451</v>
      </c>
      <c r="Q98" s="178">
        <f t="shared" si="4"/>
        <v>125.45143270048757</v>
      </c>
      <c r="R98" s="178">
        <f t="shared" si="7"/>
        <v>2009.7319518618108</v>
      </c>
      <c r="S98" s="179">
        <f t="shared" si="5"/>
        <v>130.25199866352438</v>
      </c>
    </row>
    <row r="99" spans="16:19">
      <c r="P99" s="177">
        <f t="shared" si="6"/>
        <v>0.1294244733303451</v>
      </c>
      <c r="Q99" s="178">
        <f t="shared" si="4"/>
        <v>124.76757709593358</v>
      </c>
      <c r="R99" s="178">
        <f t="shared" si="7"/>
        <v>1998.7765850768558</v>
      </c>
      <c r="S99" s="179">
        <f t="shared" si="5"/>
        <v>129.98081076683553</v>
      </c>
    </row>
    <row r="100" spans="16:19">
      <c r="P100" s="177">
        <f t="shared" si="6"/>
        <v>0.1304244733303451</v>
      </c>
      <c r="Q100" s="178">
        <f t="shared" si="4"/>
        <v>124.06537339450574</v>
      </c>
      <c r="R100" s="178">
        <f t="shared" si="7"/>
        <v>1987.5272817799819</v>
      </c>
      <c r="S100" s="179">
        <f t="shared" si="5"/>
        <v>129.71074976380055</v>
      </c>
    </row>
    <row r="101" spans="16:19">
      <c r="P101" s="177">
        <f t="shared" si="6"/>
        <v>0.1314244733303451</v>
      </c>
      <c r="Q101" s="178">
        <f t="shared" si="4"/>
        <v>123.34482159620413</v>
      </c>
      <c r="R101" s="178">
        <f t="shared" si="7"/>
        <v>1975.98404197119</v>
      </c>
      <c r="S101" s="179">
        <f t="shared" si="5"/>
        <v>129.44180864494555</v>
      </c>
    </row>
    <row r="102" spans="16:19">
      <c r="P102" s="177">
        <f t="shared" si="6"/>
        <v>0.1324244733303451</v>
      </c>
      <c r="Q102" s="178">
        <f t="shared" si="4"/>
        <v>122.60592170102871</v>
      </c>
      <c r="R102" s="178">
        <f t="shared" si="7"/>
        <v>1964.1468656504799</v>
      </c>
      <c r="S102" s="179">
        <f t="shared" si="5"/>
        <v>129.17398045880978</v>
      </c>
    </row>
    <row r="103" spans="16:19">
      <c r="P103" s="177">
        <f t="shared" si="6"/>
        <v>0.1334244733303451</v>
      </c>
      <c r="Q103" s="178">
        <f t="shared" si="4"/>
        <v>121.84867370897948</v>
      </c>
      <c r="R103" s="178">
        <f t="shared" si="7"/>
        <v>1952.0157528178511</v>
      </c>
      <c r="S103" s="179">
        <f t="shared" si="5"/>
        <v>128.90725831134688</v>
      </c>
    </row>
    <row r="104" spans="16:19">
      <c r="P104" s="177">
        <f t="shared" si="6"/>
        <v>0.1344244733303451</v>
      </c>
      <c r="Q104" s="178">
        <f t="shared" si="4"/>
        <v>121.07307762005647</v>
      </c>
      <c r="R104" s="178">
        <f t="shared" si="7"/>
        <v>1939.5907034733045</v>
      </c>
      <c r="S104" s="179">
        <f t="shared" si="5"/>
        <v>128.64163536533323</v>
      </c>
    </row>
    <row r="105" spans="16:19">
      <c r="P105" s="177">
        <f t="shared" si="6"/>
        <v>0.1354244733303451</v>
      </c>
      <c r="Q105" s="178">
        <f t="shared" si="4"/>
        <v>120.27913343425965</v>
      </c>
      <c r="R105" s="178">
        <f t="shared" si="7"/>
        <v>1926.8717176168395</v>
      </c>
      <c r="S105" s="179">
        <f t="shared" si="5"/>
        <v>128.3771048397837</v>
      </c>
    </row>
    <row r="106" spans="16:19">
      <c r="P106" s="177">
        <f t="shared" si="6"/>
        <v>0.1364244733303451</v>
      </c>
      <c r="Q106" s="178">
        <f t="shared" si="4"/>
        <v>119.46684115158899</v>
      </c>
      <c r="R106" s="178">
        <f t="shared" si="7"/>
        <v>1913.8587952484556</v>
      </c>
      <c r="S106" s="179">
        <f t="shared" si="5"/>
        <v>128.11366000937474</v>
      </c>
    </row>
    <row r="107" spans="16:19">
      <c r="P107" s="177">
        <f t="shared" si="6"/>
        <v>0.1374244733303451</v>
      </c>
      <c r="Q107" s="178">
        <f t="shared" si="4"/>
        <v>118.63620077204459</v>
      </c>
      <c r="R107" s="178">
        <f t="shared" si="7"/>
        <v>1900.5519363681542</v>
      </c>
      <c r="S107" s="179">
        <f t="shared" si="5"/>
        <v>127.85129420387429</v>
      </c>
    </row>
    <row r="108" spans="16:19">
      <c r="P108" s="177">
        <f t="shared" si="6"/>
        <v>0.1384244733303451</v>
      </c>
      <c r="Q108" s="178">
        <f t="shared" si="4"/>
        <v>117.78721229562632</v>
      </c>
      <c r="R108" s="178">
        <f t="shared" si="7"/>
        <v>1886.9511409759336</v>
      </c>
      <c r="S108" s="179">
        <f t="shared" si="5"/>
        <v>127.59000080757887</v>
      </c>
    </row>
    <row r="109" spans="16:19">
      <c r="P109" s="177">
        <f t="shared" si="6"/>
        <v>0.13942447333034511</v>
      </c>
      <c r="Q109" s="178">
        <f t="shared" si="4"/>
        <v>116.91987572233433</v>
      </c>
      <c r="R109" s="178">
        <f t="shared" si="7"/>
        <v>1873.0564090717958</v>
      </c>
      <c r="S109" s="179">
        <f t="shared" si="5"/>
        <v>127.32977325875758</v>
      </c>
    </row>
    <row r="110" spans="16:19">
      <c r="P110" s="177">
        <f t="shared" si="6"/>
        <v>0.14042447333034511</v>
      </c>
      <c r="Q110" s="178">
        <f t="shared" si="4"/>
        <v>116.03419105216847</v>
      </c>
      <c r="R110" s="178">
        <f t="shared" si="7"/>
        <v>1858.8677406557388</v>
      </c>
      <c r="S110" s="179">
        <f t="shared" si="5"/>
        <v>127.07060504910268</v>
      </c>
    </row>
    <row r="111" spans="16:19">
      <c r="P111" s="177">
        <f t="shared" si="6"/>
        <v>0.14142447333034511</v>
      </c>
      <c r="Q111" s="178">
        <f t="shared" si="4"/>
        <v>115.13015828512886</v>
      </c>
      <c r="R111" s="178">
        <f t="shared" si="7"/>
        <v>1844.3851357277642</v>
      </c>
      <c r="S111" s="179">
        <f t="shared" si="5"/>
        <v>126.81248972318711</v>
      </c>
    </row>
    <row r="112" spans="16:19">
      <c r="P112" s="177">
        <f t="shared" si="6"/>
        <v>0.14242447333034511</v>
      </c>
      <c r="Q112" s="178">
        <f t="shared" si="4"/>
        <v>114.20777742121544</v>
      </c>
      <c r="R112" s="178">
        <f t="shared" si="7"/>
        <v>1829.6085942878713</v>
      </c>
      <c r="S112" s="179">
        <f t="shared" si="5"/>
        <v>126.55542087792848</v>
      </c>
    </row>
    <row r="113" spans="16:19">
      <c r="P113" s="177">
        <f t="shared" si="6"/>
        <v>0.14342447333034511</v>
      </c>
      <c r="Q113" s="178">
        <f t="shared" si="4"/>
        <v>113.26704846042821</v>
      </c>
      <c r="R113" s="178">
        <f t="shared" si="7"/>
        <v>1814.5381163360598</v>
      </c>
      <c r="S113" s="179">
        <f t="shared" si="5"/>
        <v>126.29939216205958</v>
      </c>
    </row>
    <row r="114" spans="16:19">
      <c r="P114" s="177">
        <f t="shared" si="6"/>
        <v>0.14442447333034511</v>
      </c>
      <c r="Q114" s="178">
        <f t="shared" si="4"/>
        <v>112.30797140276718</v>
      </c>
      <c r="R114" s="178">
        <f t="shared" si="7"/>
        <v>1799.1737018723302</v>
      </c>
      <c r="S114" s="179">
        <f t="shared" si="5"/>
        <v>126.04439727560528</v>
      </c>
    </row>
    <row r="115" spans="16:19">
      <c r="P115" s="177">
        <f t="shared" si="6"/>
        <v>0.14542447333034511</v>
      </c>
      <c r="Q115" s="178">
        <f t="shared" si="4"/>
        <v>111.33054624823231</v>
      </c>
      <c r="R115" s="178">
        <f t="shared" si="7"/>
        <v>1783.5153508966816</v>
      </c>
      <c r="S115" s="179">
        <f t="shared" si="5"/>
        <v>125.79042996936583</v>
      </c>
    </row>
    <row r="116" spans="16:19">
      <c r="P116" s="177">
        <f t="shared" si="6"/>
        <v>0.14642447333034511</v>
      </c>
      <c r="Q116" s="178">
        <f t="shared" si="4"/>
        <v>110.33477299682366</v>
      </c>
      <c r="R116" s="178">
        <f t="shared" si="7"/>
        <v>1767.5630634091149</v>
      </c>
      <c r="S116" s="179">
        <f t="shared" si="5"/>
        <v>125.53748404440638</v>
      </c>
    </row>
    <row r="117" spans="16:19">
      <c r="P117" s="177">
        <f t="shared" si="6"/>
        <v>0.14742447333034511</v>
      </c>
      <c r="Q117" s="178">
        <f t="shared" si="4"/>
        <v>109.32065164854123</v>
      </c>
      <c r="R117" s="178">
        <f t="shared" si="7"/>
        <v>1751.3168394096303</v>
      </c>
      <c r="S117" s="179">
        <f t="shared" si="5"/>
        <v>125.28555335155257</v>
      </c>
    </row>
    <row r="118" spans="16:19">
      <c r="P118" s="177">
        <f t="shared" si="6"/>
        <v>0.14842447333034511</v>
      </c>
      <c r="Q118" s="178">
        <f t="shared" si="4"/>
        <v>108.28818220338499</v>
      </c>
      <c r="R118" s="178">
        <f t="shared" si="7"/>
        <v>1734.7766788982276</v>
      </c>
      <c r="S118" s="179">
        <f t="shared" si="5"/>
        <v>125.03463179089215</v>
      </c>
    </row>
    <row r="119" spans="16:19">
      <c r="P119" s="177">
        <f t="shared" si="6"/>
        <v>0.14942447333034511</v>
      </c>
      <c r="Q119" s="178">
        <f t="shared" si="4"/>
        <v>107.23736466135495</v>
      </c>
      <c r="R119" s="178">
        <f t="shared" si="7"/>
        <v>1717.9425818749062</v>
      </c>
      <c r="S119" s="179">
        <f t="shared" si="5"/>
        <v>124.78471331128286</v>
      </c>
    </row>
    <row r="120" spans="16:19">
      <c r="P120" s="177">
        <f t="shared" si="6"/>
        <v>0.15042447333034512</v>
      </c>
      <c r="Q120" s="178">
        <f t="shared" si="4"/>
        <v>106.16819902245112</v>
      </c>
      <c r="R120" s="178">
        <f t="shared" si="7"/>
        <v>1700.814548339667</v>
      </c>
      <c r="S120" s="179">
        <f t="shared" si="5"/>
        <v>124.53579190986581</v>
      </c>
    </row>
    <row r="121" spans="16:19">
      <c r="P121" s="177">
        <f t="shared" si="6"/>
        <v>0.15142447333034512</v>
      </c>
      <c r="Q121" s="178">
        <f t="shared" si="4"/>
        <v>105.08068528667346</v>
      </c>
      <c r="R121" s="178">
        <f t="shared" si="7"/>
        <v>1683.3925782925087</v>
      </c>
      <c r="S121" s="179">
        <f t="shared" si="5"/>
        <v>124.28786163158496</v>
      </c>
    </row>
    <row r="122" spans="16:19">
      <c r="P122" s="177">
        <f t="shared" si="6"/>
        <v>0.15242447333034512</v>
      </c>
      <c r="Q122" s="178">
        <f t="shared" si="4"/>
        <v>103.97482345402202</v>
      </c>
      <c r="R122" s="178">
        <f t="shared" si="7"/>
        <v>1665.6766717334326</v>
      </c>
      <c r="S122" s="179">
        <f t="shared" si="5"/>
        <v>124.04091656871219</v>
      </c>
    </row>
    <row r="123" spans="16:19">
      <c r="P123" s="177">
        <f t="shared" si="6"/>
        <v>0.15342447333034512</v>
      </c>
      <c r="Q123" s="178">
        <f t="shared" si="4"/>
        <v>102.85061352449674</v>
      </c>
      <c r="R123" s="178">
        <f t="shared" si="7"/>
        <v>1647.6668286624376</v>
      </c>
      <c r="S123" s="179">
        <f t="shared" si="5"/>
        <v>123.79495086037805</v>
      </c>
    </row>
    <row r="124" spans="16:19">
      <c r="P124" s="177">
        <f t="shared" si="6"/>
        <v>0.15442447333034512</v>
      </c>
      <c r="Q124" s="178">
        <f t="shared" si="4"/>
        <v>101.70805549809774</v>
      </c>
      <c r="R124" s="178">
        <f t="shared" si="7"/>
        <v>1629.3630490795256</v>
      </c>
      <c r="S124" s="179">
        <f t="shared" si="5"/>
        <v>123.54995869210812</v>
      </c>
    </row>
    <row r="125" spans="16:19">
      <c r="P125" s="177">
        <f t="shared" si="6"/>
        <v>0.15542447333034512</v>
      </c>
      <c r="Q125" s="178">
        <f t="shared" si="4"/>
        <v>100.54714937482487</v>
      </c>
      <c r="R125" s="178">
        <f t="shared" si="7"/>
        <v>1610.7653329846944</v>
      </c>
      <c r="S125" s="179">
        <f t="shared" si="5"/>
        <v>123.30593429536482</v>
      </c>
    </row>
    <row r="126" spans="16:19">
      <c r="P126" s="177">
        <f t="shared" si="6"/>
        <v>0.15642447333034512</v>
      </c>
      <c r="Q126" s="178">
        <f t="shared" si="4"/>
        <v>99.367895154678251</v>
      </c>
      <c r="R126" s="178">
        <f t="shared" si="7"/>
        <v>1591.8736803779454</v>
      </c>
      <c r="S126" s="179">
        <f t="shared" si="5"/>
        <v>123.06287194709465</v>
      </c>
    </row>
    <row r="127" spans="16:19">
      <c r="P127" s="177">
        <f t="shared" si="6"/>
        <v>0.15742447333034512</v>
      </c>
      <c r="Q127" s="178">
        <f t="shared" si="4"/>
        <v>98.17029283765774</v>
      </c>
      <c r="R127" s="178">
        <f t="shared" si="7"/>
        <v>1572.6880912592769</v>
      </c>
      <c r="S127" s="179">
        <f t="shared" si="5"/>
        <v>122.82076596928074</v>
      </c>
    </row>
    <row r="128" spans="16:19">
      <c r="P128" s="177">
        <f t="shared" si="6"/>
        <v>0.15842447333034512</v>
      </c>
      <c r="Q128" s="178">
        <f t="shared" si="4"/>
        <v>96.954342423763535</v>
      </c>
      <c r="R128" s="178">
        <f t="shared" si="7"/>
        <v>1553.2085656286918</v>
      </c>
      <c r="S128" s="179">
        <f t="shared" si="5"/>
        <v>122.57961072850082</v>
      </c>
    </row>
    <row r="129" spans="16:19">
      <c r="P129" s="177">
        <f t="shared" si="6"/>
        <v>0.15942447333034512</v>
      </c>
      <c r="Q129" s="178">
        <f t="shared" si="4"/>
        <v>95.720043912995436</v>
      </c>
      <c r="R129" s="178">
        <f t="shared" si="7"/>
        <v>1533.4351034861868</v>
      </c>
      <c r="S129" s="179">
        <f t="shared" si="5"/>
        <v>122.33940063549014</v>
      </c>
    </row>
    <row r="130" spans="16:19">
      <c r="P130" s="177">
        <f t="shared" si="6"/>
        <v>0.16042447333034512</v>
      </c>
      <c r="Q130" s="178">
        <f t="shared" si="4"/>
        <v>94.467397305353586</v>
      </c>
      <c r="R130" s="178">
        <f t="shared" si="7"/>
        <v>1513.3677048317645</v>
      </c>
      <c r="S130" s="179">
        <f t="shared" si="5"/>
        <v>122.10013014470975</v>
      </c>
    </row>
    <row r="131" spans="16:19">
      <c r="P131" s="177">
        <f t="shared" si="6"/>
        <v>0.16142447333034513</v>
      </c>
      <c r="Q131" s="178">
        <f t="shared" ref="Q131:Q194" si="8">$V$10*P131^2+$V$9*P131+$V$8</f>
        <v>93.196402600837956</v>
      </c>
      <c r="R131" s="178">
        <f t="shared" si="7"/>
        <v>1493.006369665424</v>
      </c>
      <c r="S131" s="179">
        <f t="shared" ref="S131:S194" si="9">(62.43*$B$13)/(P131*$B$13+1)</f>
        <v>121.86179375391973</v>
      </c>
    </row>
    <row r="132" spans="16:19">
      <c r="P132" s="177">
        <f t="shared" ref="P132:P195" si="10">P131+0.001</f>
        <v>0.16242447333034513</v>
      </c>
      <c r="Q132" s="178">
        <f t="shared" si="8"/>
        <v>91.907059799448461</v>
      </c>
      <c r="R132" s="178">
        <f t="shared" ref="R132:R195" si="11">Q132*16.02</f>
        <v>1472.3510979871644</v>
      </c>
      <c r="S132" s="179">
        <f t="shared" si="9"/>
        <v>121.62438600375735</v>
      </c>
    </row>
    <row r="133" spans="16:19">
      <c r="P133" s="177">
        <f t="shared" si="10"/>
        <v>0.16342447333034513</v>
      </c>
      <c r="Q133" s="178">
        <f t="shared" si="8"/>
        <v>90.599368901185215</v>
      </c>
      <c r="R133" s="178">
        <f t="shared" si="11"/>
        <v>1451.401889796987</v>
      </c>
      <c r="S133" s="179">
        <f t="shared" si="9"/>
        <v>121.38790147732033</v>
      </c>
    </row>
    <row r="134" spans="16:19">
      <c r="P134" s="177">
        <f t="shared" si="10"/>
        <v>0.16442447333034513</v>
      </c>
      <c r="Q134" s="178">
        <f t="shared" si="8"/>
        <v>89.273329906048133</v>
      </c>
      <c r="R134" s="178">
        <f t="shared" si="11"/>
        <v>1430.1587450948909</v>
      </c>
      <c r="S134" s="179">
        <f t="shared" si="9"/>
        <v>121.15233479975475</v>
      </c>
    </row>
    <row r="135" spans="16:19">
      <c r="P135" s="177">
        <f t="shared" si="10"/>
        <v>0.16542447333034513</v>
      </c>
      <c r="Q135" s="178">
        <f t="shared" si="8"/>
        <v>87.928942814037299</v>
      </c>
      <c r="R135" s="178">
        <f t="shared" si="11"/>
        <v>1408.6216638808776</v>
      </c>
      <c r="S135" s="179">
        <f t="shared" si="9"/>
        <v>120.91768063784787</v>
      </c>
    </row>
    <row r="136" spans="16:19">
      <c r="P136" s="177">
        <f t="shared" si="10"/>
        <v>0.16642447333034513</v>
      </c>
      <c r="Q136" s="178">
        <f t="shared" si="8"/>
        <v>86.566207625152629</v>
      </c>
      <c r="R136" s="178">
        <f t="shared" si="11"/>
        <v>1386.7906461549451</v>
      </c>
      <c r="S136" s="179">
        <f t="shared" si="9"/>
        <v>120.6839336996257</v>
      </c>
    </row>
    <row r="137" spans="16:19">
      <c r="P137" s="177">
        <f t="shared" si="10"/>
        <v>0.16742447333034513</v>
      </c>
      <c r="Q137" s="178">
        <f t="shared" si="8"/>
        <v>85.185124339394122</v>
      </c>
      <c r="R137" s="178">
        <f t="shared" si="11"/>
        <v>1364.6656919170937</v>
      </c>
      <c r="S137" s="179">
        <f t="shared" si="9"/>
        <v>120.45108873395507</v>
      </c>
    </row>
    <row r="138" spans="16:19">
      <c r="P138" s="177">
        <f t="shared" si="10"/>
        <v>0.16842447333034513</v>
      </c>
      <c r="Q138" s="178">
        <f t="shared" si="8"/>
        <v>83.78569295676192</v>
      </c>
      <c r="R138" s="178">
        <f t="shared" si="11"/>
        <v>1342.2468011673259</v>
      </c>
      <c r="S138" s="179">
        <f t="shared" si="9"/>
        <v>120.21914053015054</v>
      </c>
    </row>
    <row r="139" spans="16:19">
      <c r="P139" s="177">
        <f t="shared" si="10"/>
        <v>0.16942447333034513</v>
      </c>
      <c r="Q139" s="178">
        <f t="shared" si="8"/>
        <v>82.367913477255797</v>
      </c>
      <c r="R139" s="178">
        <f t="shared" si="11"/>
        <v>1319.5339739056378</v>
      </c>
      <c r="S139" s="179">
        <f t="shared" si="9"/>
        <v>119.98808391758556</v>
      </c>
    </row>
    <row r="140" spans="16:19">
      <c r="P140" s="177">
        <f t="shared" si="10"/>
        <v>0.17042447333034513</v>
      </c>
      <c r="Q140" s="178">
        <f t="shared" si="8"/>
        <v>80.93178590087598</v>
      </c>
      <c r="R140" s="178">
        <f t="shared" si="11"/>
        <v>1296.5272101320331</v>
      </c>
      <c r="S140" s="179">
        <f t="shared" si="9"/>
        <v>119.75791376530834</v>
      </c>
    </row>
    <row r="141" spans="16:19">
      <c r="P141" s="177">
        <f t="shared" si="10"/>
        <v>0.17142447333034513</v>
      </c>
      <c r="Q141" s="178">
        <f t="shared" si="8"/>
        <v>79.477310227622297</v>
      </c>
      <c r="R141" s="178">
        <f t="shared" si="11"/>
        <v>1273.2265098465091</v>
      </c>
      <c r="S141" s="179">
        <f t="shared" si="9"/>
        <v>119.52862498166202</v>
      </c>
    </row>
    <row r="142" spans="16:19">
      <c r="P142" s="177">
        <f t="shared" si="10"/>
        <v>0.17242447333034513</v>
      </c>
      <c r="Q142" s="178">
        <f t="shared" si="8"/>
        <v>78.004486457494806</v>
      </c>
      <c r="R142" s="178">
        <f t="shared" si="11"/>
        <v>1249.6318730490668</v>
      </c>
      <c r="S142" s="179">
        <f t="shared" si="9"/>
        <v>119.30021251390922</v>
      </c>
    </row>
    <row r="143" spans="16:19">
      <c r="P143" s="177">
        <f t="shared" si="10"/>
        <v>0.17342447333034514</v>
      </c>
      <c r="Q143" s="178">
        <f t="shared" si="8"/>
        <v>76.513314590493508</v>
      </c>
      <c r="R143" s="178">
        <f t="shared" si="11"/>
        <v>1225.7432997397059</v>
      </c>
      <c r="S143" s="179">
        <f t="shared" si="9"/>
        <v>119.07267134786086</v>
      </c>
    </row>
    <row r="144" spans="16:19">
      <c r="P144" s="177">
        <f t="shared" si="10"/>
        <v>0.17442447333034514</v>
      </c>
      <c r="Q144" s="178">
        <f t="shared" si="8"/>
        <v>75.003794626618514</v>
      </c>
      <c r="R144" s="178">
        <f t="shared" si="11"/>
        <v>1201.5607899184286</v>
      </c>
      <c r="S144" s="179">
        <f t="shared" si="9"/>
        <v>118.84599650750931</v>
      </c>
    </row>
    <row r="145" spans="16:19">
      <c r="P145" s="177">
        <f t="shared" si="10"/>
        <v>0.17542447333034514</v>
      </c>
      <c r="Q145" s="178">
        <f t="shared" si="8"/>
        <v>73.475926565869599</v>
      </c>
      <c r="R145" s="178">
        <f t="shared" si="11"/>
        <v>1177.084343585231</v>
      </c>
      <c r="S145" s="179">
        <f t="shared" si="9"/>
        <v>118.62018305466557</v>
      </c>
    </row>
    <row r="146" spans="16:19">
      <c r="P146" s="177">
        <f t="shared" si="10"/>
        <v>0.17642447333034514</v>
      </c>
      <c r="Q146" s="178">
        <f t="shared" si="8"/>
        <v>71.929710408246876</v>
      </c>
      <c r="R146" s="178">
        <f t="shared" si="11"/>
        <v>1152.3139607401149</v>
      </c>
      <c r="S146" s="179">
        <f t="shared" si="9"/>
        <v>118.39522608860072</v>
      </c>
    </row>
    <row r="147" spans="16:19">
      <c r="P147" s="177">
        <f t="shared" si="10"/>
        <v>0.17742447333034514</v>
      </c>
      <c r="Q147" s="178">
        <f t="shared" si="8"/>
        <v>70.365146153750459</v>
      </c>
      <c r="R147" s="178">
        <f t="shared" si="11"/>
        <v>1127.2496413830822</v>
      </c>
      <c r="S147" s="179">
        <f t="shared" si="9"/>
        <v>118.1711207456914</v>
      </c>
    </row>
    <row r="148" spans="16:19">
      <c r="P148" s="177">
        <f t="shared" si="10"/>
        <v>0.17842447333034514</v>
      </c>
      <c r="Q148" s="178">
        <f t="shared" si="8"/>
        <v>68.782233802380119</v>
      </c>
      <c r="R148" s="178">
        <f t="shared" si="11"/>
        <v>1101.8913855141295</v>
      </c>
      <c r="S148" s="179">
        <f t="shared" si="9"/>
        <v>117.94786219906922</v>
      </c>
    </row>
    <row r="149" spans="16:19">
      <c r="P149" s="177">
        <f t="shared" si="10"/>
        <v>0.17942447333034514</v>
      </c>
      <c r="Q149" s="178">
        <f t="shared" si="8"/>
        <v>67.180973354136142</v>
      </c>
      <c r="R149" s="178">
        <f t="shared" si="11"/>
        <v>1076.2391931332609</v>
      </c>
      <c r="S149" s="179">
        <f t="shared" si="9"/>
        <v>117.72544565827431</v>
      </c>
    </row>
    <row r="150" spans="16:19">
      <c r="P150" s="177">
        <f t="shared" si="10"/>
        <v>0.18042447333034514</v>
      </c>
      <c r="Q150" s="178">
        <f t="shared" si="8"/>
        <v>65.561364809018187</v>
      </c>
      <c r="R150" s="178">
        <f t="shared" si="11"/>
        <v>1050.2930642404713</v>
      </c>
      <c r="S150" s="179">
        <f t="shared" si="9"/>
        <v>117.50386636891261</v>
      </c>
    </row>
    <row r="151" spans="16:19">
      <c r="P151" s="177">
        <f t="shared" si="10"/>
        <v>0.18142447333034514</v>
      </c>
      <c r="Q151" s="178">
        <f t="shared" si="8"/>
        <v>63.923408167026537</v>
      </c>
      <c r="R151" s="178">
        <f t="shared" si="11"/>
        <v>1024.052998835765</v>
      </c>
      <c r="S151" s="179">
        <f t="shared" si="9"/>
        <v>117.28311961231714</v>
      </c>
    </row>
    <row r="152" spans="16:19">
      <c r="P152" s="177">
        <f t="shared" si="10"/>
        <v>0.18242447333034514</v>
      </c>
      <c r="Q152" s="178">
        <f t="shared" si="8"/>
        <v>62.267103428161022</v>
      </c>
      <c r="R152" s="178">
        <f t="shared" si="11"/>
        <v>997.51899691913957</v>
      </c>
      <c r="S152" s="179">
        <f t="shared" si="9"/>
        <v>117.06320070521302</v>
      </c>
    </row>
    <row r="153" spans="16:19">
      <c r="P153" s="177">
        <f t="shared" si="10"/>
        <v>0.18342447333034514</v>
      </c>
      <c r="Q153" s="178">
        <f t="shared" si="8"/>
        <v>60.592450592421756</v>
      </c>
      <c r="R153" s="178">
        <f t="shared" si="11"/>
        <v>970.69105849059645</v>
      </c>
      <c r="S153" s="179">
        <f t="shared" si="9"/>
        <v>116.84410499938627</v>
      </c>
    </row>
    <row r="154" spans="16:19">
      <c r="P154" s="177">
        <f t="shared" si="10"/>
        <v>0.18442447333034515</v>
      </c>
      <c r="Q154" s="178">
        <f t="shared" si="8"/>
        <v>58.899449659808624</v>
      </c>
      <c r="R154" s="178">
        <f t="shared" si="11"/>
        <v>943.56918355013408</v>
      </c>
      <c r="S154" s="179">
        <f t="shared" si="9"/>
        <v>116.62582788135632</v>
      </c>
    </row>
    <row r="155" spans="16:19">
      <c r="P155" s="177">
        <f t="shared" si="10"/>
        <v>0.18542447333034515</v>
      </c>
      <c r="Q155" s="178">
        <f t="shared" si="8"/>
        <v>57.188100630321799</v>
      </c>
      <c r="R155" s="178">
        <f t="shared" si="11"/>
        <v>916.15337209775521</v>
      </c>
      <c r="S155" s="179">
        <f t="shared" si="9"/>
        <v>116.40836477205221</v>
      </c>
    </row>
    <row r="156" spans="16:19">
      <c r="P156" s="177">
        <f t="shared" si="10"/>
        <v>0.18642447333034515</v>
      </c>
      <c r="Q156" s="178">
        <f t="shared" si="8"/>
        <v>55.458403503961051</v>
      </c>
      <c r="R156" s="178">
        <f t="shared" si="11"/>
        <v>888.44362413345607</v>
      </c>
      <c r="S156" s="179">
        <f t="shared" si="9"/>
        <v>116.19171112649235</v>
      </c>
    </row>
    <row r="157" spans="16:19">
      <c r="P157" s="177">
        <f t="shared" si="10"/>
        <v>0.18742447333034515</v>
      </c>
      <c r="Q157" s="178">
        <f t="shared" si="8"/>
        <v>53.710358280726552</v>
      </c>
      <c r="R157" s="178">
        <f t="shared" si="11"/>
        <v>860.43993965723939</v>
      </c>
      <c r="S157" s="179">
        <f t="shared" si="9"/>
        <v>115.97586243346792</v>
      </c>
    </row>
    <row r="158" spans="16:19">
      <c r="P158" s="177">
        <f t="shared" si="10"/>
        <v>0.18842447333034515</v>
      </c>
      <c r="Q158" s="178">
        <f t="shared" si="8"/>
        <v>51.943964960618359</v>
      </c>
      <c r="R158" s="178">
        <f t="shared" si="11"/>
        <v>832.14231866910609</v>
      </c>
      <c r="S158" s="179">
        <f t="shared" si="9"/>
        <v>115.7608142152297</v>
      </c>
    </row>
    <row r="159" spans="16:19">
      <c r="P159" s="177">
        <f t="shared" si="10"/>
        <v>0.18942447333034515</v>
      </c>
      <c r="Q159" s="178">
        <f t="shared" si="8"/>
        <v>50.159223543636188</v>
      </c>
      <c r="R159" s="178">
        <f t="shared" si="11"/>
        <v>803.55076116905173</v>
      </c>
      <c r="S159" s="179">
        <f t="shared" si="9"/>
        <v>115.5465620271785</v>
      </c>
    </row>
    <row r="160" spans="16:19">
      <c r="P160" s="177">
        <f t="shared" si="10"/>
        <v>0.19042447333034515</v>
      </c>
      <c r="Q160" s="178">
        <f t="shared" si="8"/>
        <v>48.356134029780378</v>
      </c>
      <c r="R160" s="178">
        <f t="shared" si="11"/>
        <v>774.66526715708164</v>
      </c>
      <c r="S160" s="179">
        <f t="shared" si="9"/>
        <v>115.33310145755888</v>
      </c>
    </row>
    <row r="161" spans="16:19">
      <c r="P161" s="177">
        <f t="shared" si="10"/>
        <v>0.19142447333034515</v>
      </c>
      <c r="Q161" s="178">
        <f t="shared" si="8"/>
        <v>46.534696419050647</v>
      </c>
      <c r="R161" s="178">
        <f t="shared" si="11"/>
        <v>745.4858366331913</v>
      </c>
      <c r="S161" s="179">
        <f t="shared" si="9"/>
        <v>115.1204281271564</v>
      </c>
    </row>
    <row r="162" spans="16:19">
      <c r="P162" s="177">
        <f t="shared" si="10"/>
        <v>0.19242447333034515</v>
      </c>
      <c r="Q162" s="178">
        <f t="shared" si="8"/>
        <v>44.694910711447108</v>
      </c>
      <c r="R162" s="178">
        <f t="shared" si="11"/>
        <v>716.01246959738262</v>
      </c>
      <c r="S162" s="179">
        <f t="shared" si="9"/>
        <v>114.90853768899811</v>
      </c>
    </row>
    <row r="163" spans="16:19">
      <c r="P163" s="177">
        <f t="shared" si="10"/>
        <v>0.19342447333034515</v>
      </c>
      <c r="Q163" s="178">
        <f t="shared" si="8"/>
        <v>42.836776906969817</v>
      </c>
      <c r="R163" s="178">
        <f t="shared" si="11"/>
        <v>686.2451660496564</v>
      </c>
      <c r="S163" s="179">
        <f t="shared" si="9"/>
        <v>114.69742582805634</v>
      </c>
    </row>
    <row r="164" spans="16:19">
      <c r="P164" s="177">
        <f t="shared" si="10"/>
        <v>0.19442447333034515</v>
      </c>
      <c r="Q164" s="178">
        <f t="shared" si="8"/>
        <v>40.960295005618718</v>
      </c>
      <c r="R164" s="178">
        <f t="shared" si="11"/>
        <v>656.18392599001186</v>
      </c>
      <c r="S164" s="179">
        <f t="shared" si="9"/>
        <v>114.48708826095589</v>
      </c>
    </row>
    <row r="165" spans="16:19">
      <c r="P165" s="177">
        <f t="shared" si="10"/>
        <v>0.19542447333034516</v>
      </c>
      <c r="Q165" s="178">
        <f t="shared" si="8"/>
        <v>39.065465007393811</v>
      </c>
      <c r="R165" s="178">
        <f t="shared" si="11"/>
        <v>625.82874941844887</v>
      </c>
      <c r="S165" s="179">
        <f t="shared" si="9"/>
        <v>114.27752073568423</v>
      </c>
    </row>
    <row r="166" spans="16:19">
      <c r="P166" s="177">
        <f t="shared" si="10"/>
        <v>0.19642447333034516</v>
      </c>
      <c r="Q166" s="178">
        <f t="shared" si="8"/>
        <v>37.152286912295153</v>
      </c>
      <c r="R166" s="178">
        <f t="shared" si="11"/>
        <v>595.17963633496834</v>
      </c>
      <c r="S166" s="179">
        <f t="shared" si="9"/>
        <v>114.06871903130504</v>
      </c>
    </row>
    <row r="167" spans="16:19">
      <c r="P167" s="177">
        <f t="shared" si="10"/>
        <v>0.19742447333034516</v>
      </c>
      <c r="Q167" s="178">
        <f t="shared" si="8"/>
        <v>35.220760720322687</v>
      </c>
      <c r="R167" s="178">
        <f t="shared" si="11"/>
        <v>564.23658673956947</v>
      </c>
      <c r="S167" s="179">
        <f t="shared" si="9"/>
        <v>113.86067895767479</v>
      </c>
    </row>
    <row r="168" spans="16:19">
      <c r="P168" s="177">
        <f t="shared" si="10"/>
        <v>0.19842447333034516</v>
      </c>
      <c r="Q168" s="178">
        <f t="shared" si="8"/>
        <v>33.270886431476356</v>
      </c>
      <c r="R168" s="178">
        <f t="shared" si="11"/>
        <v>532.99960063225126</v>
      </c>
      <c r="S168" s="179">
        <f t="shared" si="9"/>
        <v>113.65339635516246</v>
      </c>
    </row>
    <row r="169" spans="16:19">
      <c r="P169" s="177">
        <f t="shared" si="10"/>
        <v>0.19942447333034516</v>
      </c>
      <c r="Q169" s="178">
        <f t="shared" si="8"/>
        <v>31.302664045756217</v>
      </c>
      <c r="R169" s="178">
        <f t="shared" si="11"/>
        <v>501.4686780130146</v>
      </c>
      <c r="S169" s="179">
        <f t="shared" si="9"/>
        <v>113.44686709437234</v>
      </c>
    </row>
    <row r="170" spans="16:19">
      <c r="P170" s="177">
        <f t="shared" si="10"/>
        <v>0.20042447333034516</v>
      </c>
      <c r="Q170" s="178">
        <f t="shared" si="8"/>
        <v>29.316093563162326</v>
      </c>
      <c r="R170" s="178">
        <f t="shared" si="11"/>
        <v>469.64381888186045</v>
      </c>
      <c r="S170" s="179">
        <f t="shared" si="9"/>
        <v>113.24108707586971</v>
      </c>
    </row>
    <row r="171" spans="16:19">
      <c r="P171" s="177">
        <f t="shared" si="10"/>
        <v>0.20142447333034516</v>
      </c>
      <c r="Q171" s="178">
        <f t="shared" si="8"/>
        <v>27.311174983694627</v>
      </c>
      <c r="R171" s="178">
        <f t="shared" si="11"/>
        <v>437.52502323878792</v>
      </c>
      <c r="S171" s="179">
        <f t="shared" si="9"/>
        <v>113.03605222990977</v>
      </c>
    </row>
    <row r="172" spans="16:19">
      <c r="P172" s="177">
        <f t="shared" si="10"/>
        <v>0.20242447333034516</v>
      </c>
      <c r="Q172" s="178">
        <f t="shared" si="8"/>
        <v>25.287908307353121</v>
      </c>
      <c r="R172" s="178">
        <f t="shared" si="11"/>
        <v>405.112291083797</v>
      </c>
      <c r="S172" s="179">
        <f t="shared" si="9"/>
        <v>112.83175851616916</v>
      </c>
    </row>
    <row r="173" spans="16:19">
      <c r="P173" s="177">
        <f t="shared" si="10"/>
        <v>0.20342447333034516</v>
      </c>
      <c r="Q173" s="178">
        <f t="shared" si="8"/>
        <v>23.246293534137806</v>
      </c>
      <c r="R173" s="178">
        <f t="shared" si="11"/>
        <v>372.40562241688764</v>
      </c>
      <c r="S173" s="179">
        <f t="shared" si="9"/>
        <v>112.6282019234807</v>
      </c>
    </row>
    <row r="174" spans="16:19">
      <c r="P174" s="177">
        <f t="shared" si="10"/>
        <v>0.20442447333034516</v>
      </c>
      <c r="Q174" s="178">
        <f t="shared" si="8"/>
        <v>21.186330664048739</v>
      </c>
      <c r="R174" s="178">
        <f t="shared" si="11"/>
        <v>339.40501723806079</v>
      </c>
      <c r="S174" s="179">
        <f t="shared" si="9"/>
        <v>112.4253784695708</v>
      </c>
    </row>
    <row r="175" spans="16:19">
      <c r="P175" s="177">
        <f t="shared" si="10"/>
        <v>0.20542447333034516</v>
      </c>
      <c r="Q175" s="178">
        <f t="shared" si="8"/>
        <v>19.108019697085751</v>
      </c>
      <c r="R175" s="178">
        <f t="shared" si="11"/>
        <v>306.11047554731374</v>
      </c>
      <c r="S175" s="179">
        <f t="shared" si="9"/>
        <v>112.22328420079981</v>
      </c>
    </row>
    <row r="176" spans="16:19">
      <c r="P176" s="177">
        <f t="shared" si="10"/>
        <v>0.20642447333034517</v>
      </c>
      <c r="Q176" s="178">
        <f t="shared" si="8"/>
        <v>17.011360633249069</v>
      </c>
      <c r="R176" s="178">
        <f t="shared" si="11"/>
        <v>272.52199734465006</v>
      </c>
      <c r="S176" s="179">
        <f t="shared" si="9"/>
        <v>112.02191519190507</v>
      </c>
    </row>
    <row r="177" spans="16:19">
      <c r="P177" s="177">
        <f t="shared" si="10"/>
        <v>0.20742447333034517</v>
      </c>
      <c r="Q177" s="178">
        <f t="shared" si="8"/>
        <v>14.896353472538522</v>
      </c>
      <c r="R177" s="178">
        <f t="shared" si="11"/>
        <v>238.63958263006711</v>
      </c>
      <c r="S177" s="179">
        <f t="shared" si="9"/>
        <v>111.82126754574679</v>
      </c>
    </row>
    <row r="178" spans="16:19">
      <c r="P178" s="177">
        <f t="shared" si="10"/>
        <v>0.20842447333034517</v>
      </c>
      <c r="Q178" s="178">
        <f t="shared" si="8"/>
        <v>12.76299821495428</v>
      </c>
      <c r="R178" s="178">
        <f t="shared" si="11"/>
        <v>204.46323140356756</v>
      </c>
      <c r="S178" s="179">
        <f t="shared" si="9"/>
        <v>111.62133739305668</v>
      </c>
    </row>
    <row r="179" spans="16:19">
      <c r="P179" s="177">
        <f t="shared" si="10"/>
        <v>0.20942447333034517</v>
      </c>
      <c r="Q179" s="178">
        <f t="shared" si="8"/>
        <v>10.611294860496116</v>
      </c>
      <c r="R179" s="178">
        <f t="shared" si="11"/>
        <v>169.99294366514778</v>
      </c>
      <c r="S179" s="179">
        <f t="shared" si="9"/>
        <v>111.4221208921892</v>
      </c>
    </row>
    <row r="180" spans="16:19">
      <c r="P180" s="177">
        <f t="shared" si="10"/>
        <v>0.21042447333034517</v>
      </c>
      <c r="Q180" s="178">
        <f t="shared" si="8"/>
        <v>8.4412434091642581</v>
      </c>
      <c r="R180" s="178">
        <f t="shared" si="11"/>
        <v>135.22871941481142</v>
      </c>
      <c r="S180" s="179">
        <f t="shared" si="9"/>
        <v>111.22361422887546</v>
      </c>
    </row>
    <row r="181" spans="16:19">
      <c r="P181" s="177">
        <f t="shared" si="10"/>
        <v>0.21142447333034517</v>
      </c>
      <c r="Q181" s="178">
        <f t="shared" si="8"/>
        <v>6.2528438609584782</v>
      </c>
      <c r="R181" s="178">
        <f t="shared" si="11"/>
        <v>100.17055865255482</v>
      </c>
      <c r="S181" s="179">
        <f t="shared" si="9"/>
        <v>111.0258136159799</v>
      </c>
    </row>
    <row r="182" spans="16:19">
      <c r="P182" s="177">
        <f t="shared" si="10"/>
        <v>0.21242447333034517</v>
      </c>
      <c r="Q182" s="178">
        <f t="shared" si="8"/>
        <v>4.0460962158789471</v>
      </c>
      <c r="R182" s="178">
        <f t="shared" si="11"/>
        <v>64.818461378380732</v>
      </c>
      <c r="S182" s="179">
        <f t="shared" si="9"/>
        <v>110.82871529325928</v>
      </c>
    </row>
    <row r="183" spans="16:19">
      <c r="P183" s="177">
        <f t="shared" si="10"/>
        <v>0.21342447333034517</v>
      </c>
      <c r="Q183" s="178">
        <f t="shared" si="8"/>
        <v>1.8210004739256078</v>
      </c>
      <c r="R183" s="178">
        <f t="shared" si="11"/>
        <v>29.172427592288237</v>
      </c>
      <c r="S183" s="179">
        <f t="shared" si="9"/>
        <v>110.63231552712458</v>
      </c>
    </row>
    <row r="184" spans="16:19">
      <c r="P184" s="177">
        <f t="shared" si="10"/>
        <v>0.21442447333034517</v>
      </c>
      <c r="Q184" s="178">
        <f t="shared" si="8"/>
        <v>-0.42244336490148271</v>
      </c>
      <c r="R184" s="178">
        <f t="shared" si="11"/>
        <v>-6.7675427057217528</v>
      </c>
      <c r="S184" s="179">
        <f t="shared" si="9"/>
        <v>110.4366106104051</v>
      </c>
    </row>
    <row r="185" spans="16:19">
      <c r="P185" s="177">
        <f t="shared" si="10"/>
        <v>0.21542447333034517</v>
      </c>
      <c r="Q185" s="178">
        <f t="shared" si="8"/>
        <v>-2.6842353006023814</v>
      </c>
      <c r="R185" s="178">
        <f t="shared" si="11"/>
        <v>-43.001449515650151</v>
      </c>
      <c r="S185" s="179">
        <f t="shared" si="9"/>
        <v>110.24159686211532</v>
      </c>
    </row>
    <row r="186" spans="16:19">
      <c r="P186" s="177">
        <f t="shared" si="10"/>
        <v>0.21642447333034517</v>
      </c>
      <c r="Q186" s="178">
        <f t="shared" si="8"/>
        <v>-4.964375333177145</v>
      </c>
      <c r="R186" s="178">
        <f t="shared" si="11"/>
        <v>-79.529292837497863</v>
      </c>
      <c r="S186" s="179">
        <f t="shared" si="9"/>
        <v>110.04727062722404</v>
      </c>
    </row>
    <row r="187" spans="16:19">
      <c r="P187" s="177">
        <f t="shared" si="10"/>
        <v>0.21742447333034517</v>
      </c>
      <c r="Q187" s="178">
        <f t="shared" si="8"/>
        <v>-7.2628634626256598</v>
      </c>
      <c r="R187" s="178">
        <f t="shared" si="11"/>
        <v>-116.35107267126307</v>
      </c>
      <c r="S187" s="179">
        <f t="shared" si="9"/>
        <v>109.85362827642605</v>
      </c>
    </row>
    <row r="188" spans="16:19">
      <c r="P188" s="177">
        <f t="shared" si="10"/>
        <v>0.21842447333034518</v>
      </c>
      <c r="Q188" s="178">
        <f t="shared" si="8"/>
        <v>-9.5796996889479828</v>
      </c>
      <c r="R188" s="178">
        <f t="shared" si="11"/>
        <v>-153.46678901694668</v>
      </c>
      <c r="S188" s="179">
        <f t="shared" si="9"/>
        <v>109.6606662059162</v>
      </c>
    </row>
    <row r="189" spans="16:19">
      <c r="P189" s="177">
        <f t="shared" si="10"/>
        <v>0.21942447333034518</v>
      </c>
      <c r="Q189" s="178">
        <f t="shared" si="8"/>
        <v>-11.914884012144171</v>
      </c>
      <c r="R189" s="178">
        <f t="shared" si="11"/>
        <v>-190.87644187454961</v>
      </c>
      <c r="S189" s="179">
        <f t="shared" si="9"/>
        <v>109.46838083716582</v>
      </c>
    </row>
    <row r="190" spans="16:19">
      <c r="P190" s="177">
        <f t="shared" si="10"/>
        <v>0.22042447333034518</v>
      </c>
      <c r="Q190" s="178">
        <f t="shared" si="8"/>
        <v>-14.268416432214053</v>
      </c>
      <c r="R190" s="178">
        <f t="shared" si="11"/>
        <v>-228.58003124406912</v>
      </c>
      <c r="S190" s="179">
        <f t="shared" si="9"/>
        <v>109.2767686167015</v>
      </c>
    </row>
    <row r="191" spans="16:19">
      <c r="P191" s="177">
        <f t="shared" si="10"/>
        <v>0.22142447333034518</v>
      </c>
      <c r="Q191" s="178">
        <f t="shared" si="8"/>
        <v>-16.640296949157801</v>
      </c>
      <c r="R191" s="178">
        <f t="shared" si="11"/>
        <v>-266.57755712550795</v>
      </c>
      <c r="S191" s="179">
        <f t="shared" si="9"/>
        <v>109.08582601588618</v>
      </c>
    </row>
    <row r="192" spans="16:19">
      <c r="P192" s="177">
        <f t="shared" si="10"/>
        <v>0.22242447333034518</v>
      </c>
      <c r="Q192" s="178">
        <f t="shared" si="8"/>
        <v>-19.030525562975299</v>
      </c>
      <c r="R192" s="178">
        <f t="shared" si="11"/>
        <v>-304.86901951886426</v>
      </c>
      <c r="S192" s="179">
        <f t="shared" si="9"/>
        <v>108.89554953070261</v>
      </c>
    </row>
    <row r="193" spans="16:19">
      <c r="P193" s="177">
        <f t="shared" si="10"/>
        <v>0.22342447333034518</v>
      </c>
      <c r="Q193" s="178">
        <f t="shared" si="8"/>
        <v>-21.439102273666606</v>
      </c>
      <c r="R193" s="178">
        <f t="shared" si="11"/>
        <v>-343.45441842413902</v>
      </c>
      <c r="S193" s="179">
        <f t="shared" si="9"/>
        <v>108.7059356815389</v>
      </c>
    </row>
    <row r="194" spans="16:19">
      <c r="P194" s="177">
        <f t="shared" si="10"/>
        <v>0.22442447333034518</v>
      </c>
      <c r="Q194" s="178">
        <f t="shared" si="8"/>
        <v>-23.866027081231778</v>
      </c>
      <c r="R194" s="178">
        <f t="shared" si="11"/>
        <v>-382.33375384133308</v>
      </c>
      <c r="S194" s="179">
        <f t="shared" si="9"/>
        <v>108.51698101297649</v>
      </c>
    </row>
    <row r="195" spans="16:19">
      <c r="P195" s="177">
        <f t="shared" si="10"/>
        <v>0.22542447333034518</v>
      </c>
      <c r="Q195" s="178">
        <f t="shared" ref="Q195:Q240" si="12">$V$10*P195^2+$V$9*P195+$V$8</f>
        <v>-26.311299985670757</v>
      </c>
      <c r="R195" s="178">
        <f t="shared" si="11"/>
        <v>-421.50702577044552</v>
      </c>
      <c r="S195" s="179">
        <f t="shared" ref="S195:S240" si="13">(62.43*$B$13)/(P195*$B$13+1)</f>
        <v>108.32868209358021</v>
      </c>
    </row>
    <row r="196" spans="16:19">
      <c r="P196" s="177">
        <f t="shared" ref="P196:P240" si="14">P195+0.001</f>
        <v>0.22642447333034518</v>
      </c>
      <c r="Q196" s="178">
        <f t="shared" si="12"/>
        <v>-28.774920986983432</v>
      </c>
      <c r="R196" s="178">
        <f t="shared" ref="R196:R240" si="15">Q196*16.02</f>
        <v>-460.97423421147454</v>
      </c>
      <c r="S196" s="179">
        <f t="shared" si="13"/>
        <v>108.14103551569059</v>
      </c>
    </row>
    <row r="197" spans="16:19">
      <c r="P197" s="177">
        <f t="shared" si="14"/>
        <v>0.22742447333034518</v>
      </c>
      <c r="Q197" s="178">
        <f t="shared" si="12"/>
        <v>-31.256890085169971</v>
      </c>
      <c r="R197" s="178">
        <f t="shared" si="15"/>
        <v>-500.73537916442291</v>
      </c>
      <c r="S197" s="179">
        <f t="shared" si="13"/>
        <v>107.95403789521824</v>
      </c>
    </row>
    <row r="198" spans="16:19">
      <c r="P198" s="177">
        <f t="shared" si="14"/>
        <v>0.22842447333034518</v>
      </c>
      <c r="Q198" s="178">
        <f t="shared" si="12"/>
        <v>-33.757207280230375</v>
      </c>
      <c r="R198" s="178">
        <f t="shared" si="15"/>
        <v>-540.79046062929058</v>
      </c>
      <c r="S198" s="179">
        <f t="shared" si="13"/>
        <v>107.76768587144048</v>
      </c>
    </row>
    <row r="199" spans="16:19">
      <c r="P199" s="177">
        <f t="shared" si="14"/>
        <v>0.22942447333034519</v>
      </c>
      <c r="Q199" s="178">
        <f t="shared" si="12"/>
        <v>-36.275872572164531</v>
      </c>
      <c r="R199" s="178">
        <f t="shared" si="15"/>
        <v>-581.13947860607573</v>
      </c>
      <c r="S199" s="179">
        <f t="shared" si="13"/>
        <v>107.58197610679997</v>
      </c>
    </row>
    <row r="200" spans="16:19">
      <c r="P200" s="177">
        <f t="shared" si="14"/>
        <v>0.23042447333034519</v>
      </c>
      <c r="Q200" s="178">
        <f t="shared" si="12"/>
        <v>-38.812885960972437</v>
      </c>
      <c r="R200" s="178">
        <f t="shared" si="15"/>
        <v>-621.78243309477841</v>
      </c>
      <c r="S200" s="179">
        <f t="shared" si="13"/>
        <v>107.39690528670549</v>
      </c>
    </row>
    <row r="201" spans="16:19">
      <c r="P201" s="177">
        <f t="shared" si="14"/>
        <v>0.23142447333034519</v>
      </c>
      <c r="Q201" s="178">
        <f t="shared" si="12"/>
        <v>-41.368247446654209</v>
      </c>
      <c r="R201" s="178">
        <f t="shared" si="15"/>
        <v>-662.71932409540045</v>
      </c>
      <c r="S201" s="179">
        <f t="shared" si="13"/>
        <v>107.21247011933467</v>
      </c>
    </row>
    <row r="202" spans="16:19">
      <c r="P202" s="177">
        <f t="shared" si="14"/>
        <v>0.23242447333034519</v>
      </c>
      <c r="Q202" s="178">
        <f t="shared" si="12"/>
        <v>-43.941957029209732</v>
      </c>
      <c r="R202" s="178">
        <f t="shared" si="15"/>
        <v>-703.95015160793992</v>
      </c>
      <c r="S202" s="179">
        <f t="shared" si="13"/>
        <v>107.0286673354389</v>
      </c>
    </row>
    <row r="203" spans="16:19">
      <c r="P203" s="177">
        <f t="shared" si="14"/>
        <v>0.23342447333034519</v>
      </c>
      <c r="Q203" s="178">
        <f t="shared" si="12"/>
        <v>-46.534014708639006</v>
      </c>
      <c r="R203" s="178">
        <f t="shared" si="15"/>
        <v>-745.47491563239691</v>
      </c>
      <c r="S203" s="179">
        <f t="shared" si="13"/>
        <v>106.8454936881501</v>
      </c>
    </row>
    <row r="204" spans="16:19">
      <c r="P204" s="177">
        <f t="shared" si="14"/>
        <v>0.23442447333034519</v>
      </c>
      <c r="Q204" s="178">
        <f t="shared" si="12"/>
        <v>-49.144420484942202</v>
      </c>
      <c r="R204" s="178">
        <f t="shared" si="15"/>
        <v>-787.29361616877407</v>
      </c>
      <c r="S204" s="179">
        <f t="shared" si="13"/>
        <v>106.66294595278956</v>
      </c>
    </row>
    <row r="205" spans="16:19">
      <c r="P205" s="177">
        <f t="shared" si="14"/>
        <v>0.23542447333034519</v>
      </c>
      <c r="Q205" s="178">
        <f t="shared" si="12"/>
        <v>-51.773174358119093</v>
      </c>
      <c r="R205" s="178">
        <f t="shared" si="15"/>
        <v>-829.40625321706784</v>
      </c>
      <c r="S205" s="179">
        <f t="shared" si="13"/>
        <v>106.48102092667871</v>
      </c>
    </row>
    <row r="206" spans="16:19">
      <c r="P206" s="177">
        <f t="shared" si="14"/>
        <v>0.23642447333034519</v>
      </c>
      <c r="Q206" s="178">
        <f t="shared" si="12"/>
        <v>-54.420276328169848</v>
      </c>
      <c r="R206" s="178">
        <f t="shared" si="15"/>
        <v>-871.81282677728097</v>
      </c>
      <c r="S206" s="179">
        <f t="shared" si="13"/>
        <v>106.29971542895181</v>
      </c>
    </row>
    <row r="207" spans="16:19">
      <c r="P207" s="177">
        <f t="shared" si="14"/>
        <v>0.23742447333034519</v>
      </c>
      <c r="Q207" s="178">
        <f t="shared" si="12"/>
        <v>-57.085726395094525</v>
      </c>
      <c r="R207" s="178">
        <f t="shared" si="15"/>
        <v>-914.51333684941426</v>
      </c>
      <c r="S207" s="179">
        <f t="shared" si="13"/>
        <v>106.11902630037058</v>
      </c>
    </row>
    <row r="208" spans="16:19">
      <c r="P208" s="177">
        <f t="shared" si="14"/>
        <v>0.23842447333034519</v>
      </c>
      <c r="Q208" s="178">
        <f t="shared" si="12"/>
        <v>-59.769524558892783</v>
      </c>
      <c r="R208" s="178">
        <f t="shared" si="15"/>
        <v>-957.50778343346235</v>
      </c>
      <c r="S208" s="179">
        <f t="shared" si="13"/>
        <v>105.93895040314064</v>
      </c>
    </row>
    <row r="209" spans="16:19">
      <c r="P209" s="177">
        <f t="shared" si="14"/>
        <v>0.23942447333034519</v>
      </c>
      <c r="Q209" s="178">
        <f t="shared" si="12"/>
        <v>-62.471670819564963</v>
      </c>
      <c r="R209" s="178">
        <f t="shared" si="15"/>
        <v>-1000.7961665294307</v>
      </c>
      <c r="S209" s="179">
        <f t="shared" si="13"/>
        <v>105.75948462072999</v>
      </c>
    </row>
    <row r="210" spans="16:19">
      <c r="P210" s="177">
        <f t="shared" si="14"/>
        <v>0.2404244733303452</v>
      </c>
      <c r="Q210" s="178">
        <f t="shared" si="12"/>
        <v>-65.192165177110951</v>
      </c>
      <c r="R210" s="178">
        <f t="shared" si="15"/>
        <v>-1044.3784861373174</v>
      </c>
      <c r="S210" s="179">
        <f t="shared" si="13"/>
        <v>105.58062585768909</v>
      </c>
    </row>
    <row r="211" spans="16:19">
      <c r="P211" s="177">
        <f t="shared" si="14"/>
        <v>0.2414244733303452</v>
      </c>
      <c r="Q211" s="178">
        <f t="shared" si="12"/>
        <v>-67.931007631530747</v>
      </c>
      <c r="R211" s="178">
        <f t="shared" si="15"/>
        <v>-1088.2547422571226</v>
      </c>
      <c r="S211" s="179">
        <f t="shared" si="13"/>
        <v>105.40237103947297</v>
      </c>
    </row>
    <row r="212" spans="16:19">
      <c r="P212" s="177">
        <f t="shared" si="14"/>
        <v>0.2424244733303452</v>
      </c>
      <c r="Q212" s="178">
        <f t="shared" si="12"/>
        <v>-70.688198182824237</v>
      </c>
      <c r="R212" s="178">
        <f t="shared" si="15"/>
        <v>-1132.4249348888443</v>
      </c>
      <c r="S212" s="179">
        <f t="shared" si="13"/>
        <v>105.22471711226505</v>
      </c>
    </row>
    <row r="213" spans="16:19">
      <c r="P213" s="177">
        <f t="shared" si="14"/>
        <v>0.2434244733303452</v>
      </c>
      <c r="Q213" s="178">
        <f t="shared" si="12"/>
        <v>-73.46373683099165</v>
      </c>
      <c r="R213" s="178">
        <f t="shared" si="15"/>
        <v>-1176.8890640324862</v>
      </c>
      <c r="S213" s="179">
        <f t="shared" si="13"/>
        <v>105.0476610428027</v>
      </c>
    </row>
    <row r="214" spans="16:19">
      <c r="P214" s="177">
        <f t="shared" si="14"/>
        <v>0.2444244733303452</v>
      </c>
      <c r="Q214" s="178">
        <f t="shared" si="12"/>
        <v>-76.257623576032756</v>
      </c>
      <c r="R214" s="178">
        <f t="shared" si="15"/>
        <v>-1221.6471296880447</v>
      </c>
      <c r="S214" s="179">
        <f t="shared" si="13"/>
        <v>104.87119981820467</v>
      </c>
    </row>
    <row r="215" spans="16:19">
      <c r="P215" s="177">
        <f t="shared" si="14"/>
        <v>0.2454244733303452</v>
      </c>
      <c r="Q215" s="178">
        <f t="shared" si="12"/>
        <v>-79.069858417947785</v>
      </c>
      <c r="R215" s="178">
        <f t="shared" si="15"/>
        <v>-1266.6991318555235</v>
      </c>
      <c r="S215" s="179">
        <f t="shared" si="13"/>
        <v>104.69533044580015</v>
      </c>
    </row>
    <row r="216" spans="16:19">
      <c r="P216" s="177">
        <f t="shared" si="14"/>
        <v>0.2464244733303452</v>
      </c>
      <c r="Q216" s="178">
        <f t="shared" si="12"/>
        <v>-81.900441356736565</v>
      </c>
      <c r="R216" s="178">
        <f t="shared" si="15"/>
        <v>-1312.0450705349197</v>
      </c>
      <c r="S216" s="179">
        <f t="shared" si="13"/>
        <v>104.5200499529596</v>
      </c>
    </row>
    <row r="217" spans="16:19">
      <c r="P217" s="177">
        <f t="shared" si="14"/>
        <v>0.2474244733303452</v>
      </c>
      <c r="Q217" s="178">
        <f t="shared" si="12"/>
        <v>-84.749372392399039</v>
      </c>
      <c r="R217" s="178">
        <f t="shared" si="15"/>
        <v>-1357.6849457262326</v>
      </c>
      <c r="S217" s="179">
        <f t="shared" si="13"/>
        <v>104.34535538692722</v>
      </c>
    </row>
    <row r="218" spans="16:19">
      <c r="P218" s="177">
        <f t="shared" si="14"/>
        <v>0.2484244733303452</v>
      </c>
      <c r="Q218" s="178">
        <f t="shared" si="12"/>
        <v>-87.616651524935435</v>
      </c>
      <c r="R218" s="178">
        <f t="shared" si="15"/>
        <v>-1403.6187574294656</v>
      </c>
      <c r="S218" s="179">
        <f t="shared" si="13"/>
        <v>104.17124381465527</v>
      </c>
    </row>
    <row r="219" spans="16:19">
      <c r="P219" s="177">
        <f t="shared" si="14"/>
        <v>0.2494244733303452</v>
      </c>
      <c r="Q219" s="178">
        <f t="shared" si="12"/>
        <v>-90.502278754345525</v>
      </c>
      <c r="R219" s="178">
        <f t="shared" si="15"/>
        <v>-1449.8465056446153</v>
      </c>
      <c r="S219" s="179">
        <f t="shared" si="13"/>
        <v>103.99771232263976</v>
      </c>
    </row>
    <row r="220" spans="16:19">
      <c r="P220" s="177">
        <f t="shared" si="14"/>
        <v>0.25042447333034518</v>
      </c>
      <c r="Q220" s="178">
        <f t="shared" si="12"/>
        <v>-93.406254080629594</v>
      </c>
      <c r="R220" s="178">
        <f t="shared" si="15"/>
        <v>-1496.3681903716861</v>
      </c>
      <c r="S220" s="179">
        <f t="shared" si="13"/>
        <v>103.82475801675807</v>
      </c>
    </row>
    <row r="221" spans="16:19">
      <c r="P221" s="177">
        <f t="shared" si="14"/>
        <v>0.25142447333034518</v>
      </c>
      <c r="Q221" s="178">
        <f t="shared" si="12"/>
        <v>-96.328577503787187</v>
      </c>
      <c r="R221" s="178">
        <f t="shared" si="15"/>
        <v>-1543.1838116106708</v>
      </c>
      <c r="S221" s="179">
        <f t="shared" si="13"/>
        <v>103.65237802210795</v>
      </c>
    </row>
    <row r="222" spans="16:19">
      <c r="P222" s="177">
        <f t="shared" si="14"/>
        <v>0.25242447333034518</v>
      </c>
      <c r="Q222" s="178">
        <f t="shared" si="12"/>
        <v>-99.269249023818816</v>
      </c>
      <c r="R222" s="178">
        <f t="shared" si="15"/>
        <v>-1590.2933693615773</v>
      </c>
      <c r="S222" s="179">
        <f t="shared" si="13"/>
        <v>103.48056948284831</v>
      </c>
    </row>
    <row r="223" spans="16:19">
      <c r="P223" s="177">
        <f t="shared" si="14"/>
        <v>0.25342447333034518</v>
      </c>
      <c r="Q223" s="178">
        <f t="shared" si="12"/>
        <v>-102.22826864072425</v>
      </c>
      <c r="R223" s="178">
        <f t="shared" si="15"/>
        <v>-1637.6968636244026</v>
      </c>
      <c r="S223" s="179">
        <f t="shared" si="13"/>
        <v>103.30932956204147</v>
      </c>
    </row>
    <row r="224" spans="16:19">
      <c r="P224" s="177">
        <f t="shared" si="14"/>
        <v>0.25442447333034518</v>
      </c>
      <c r="Q224" s="178">
        <f t="shared" si="12"/>
        <v>-105.20563635450338</v>
      </c>
      <c r="R224" s="178">
        <f t="shared" si="15"/>
        <v>-1685.3942943991442</v>
      </c>
      <c r="S224" s="179">
        <f t="shared" si="13"/>
        <v>103.13865544149699</v>
      </c>
    </row>
    <row r="225" spans="16:19">
      <c r="P225" s="177">
        <f t="shared" si="14"/>
        <v>0.25542447333034518</v>
      </c>
      <c r="Q225" s="178">
        <f t="shared" si="12"/>
        <v>-108.20135216515632</v>
      </c>
      <c r="R225" s="178">
        <f t="shared" si="15"/>
        <v>-1733.3856616858043</v>
      </c>
      <c r="S225" s="179">
        <f t="shared" si="13"/>
        <v>102.96854432161713</v>
      </c>
    </row>
    <row r="226" spans="16:19">
      <c r="P226" s="177">
        <f t="shared" si="14"/>
        <v>0.25642447333034518</v>
      </c>
      <c r="Q226" s="178">
        <f t="shared" si="12"/>
        <v>-111.21541607268307</v>
      </c>
      <c r="R226" s="178">
        <f t="shared" si="15"/>
        <v>-1781.6709654843828</v>
      </c>
      <c r="S226" s="179">
        <f t="shared" si="13"/>
        <v>102.79899342124369</v>
      </c>
    </row>
    <row r="227" spans="16:19">
      <c r="P227" s="177">
        <f t="shared" si="14"/>
        <v>0.25742447333034518</v>
      </c>
      <c r="Q227" s="178">
        <f t="shared" si="12"/>
        <v>-114.24782807708368</v>
      </c>
      <c r="R227" s="178">
        <f t="shared" si="15"/>
        <v>-1830.2502057948805</v>
      </c>
      <c r="S227" s="179">
        <f t="shared" si="13"/>
        <v>102.62999997750656</v>
      </c>
    </row>
    <row r="228" spans="16:19">
      <c r="P228" s="177">
        <f t="shared" si="14"/>
        <v>0.25842447333034518</v>
      </c>
      <c r="Q228" s="178">
        <f t="shared" si="12"/>
        <v>-117.29858817835799</v>
      </c>
      <c r="R228" s="178">
        <f t="shared" si="15"/>
        <v>-1879.123382617295</v>
      </c>
      <c r="S228" s="179">
        <f t="shared" si="13"/>
        <v>102.46156124567348</v>
      </c>
    </row>
    <row r="229" spans="16:19">
      <c r="P229" s="177">
        <f t="shared" si="14"/>
        <v>0.25942447333034518</v>
      </c>
      <c r="Q229" s="178">
        <f t="shared" si="12"/>
        <v>-120.36769637650633</v>
      </c>
      <c r="R229" s="178">
        <f t="shared" si="15"/>
        <v>-1928.2904959516313</v>
      </c>
      <c r="S229" s="179">
        <f t="shared" si="13"/>
        <v>102.29367449900161</v>
      </c>
    </row>
    <row r="230" spans="16:19">
      <c r="P230" s="177">
        <f t="shared" si="14"/>
        <v>0.26042447333034519</v>
      </c>
      <c r="Q230" s="178">
        <f t="shared" si="12"/>
        <v>-123.45515267152814</v>
      </c>
      <c r="R230" s="178">
        <f t="shared" si="15"/>
        <v>-1977.7515457978807</v>
      </c>
      <c r="S230" s="179">
        <f t="shared" si="13"/>
        <v>102.1263370285903</v>
      </c>
    </row>
    <row r="231" spans="16:19">
      <c r="P231" s="177">
        <f t="shared" si="14"/>
        <v>0.26142447333034519</v>
      </c>
      <c r="Q231" s="178">
        <f t="shared" si="12"/>
        <v>-126.5609570634241</v>
      </c>
      <c r="R231" s="178">
        <f t="shared" si="15"/>
        <v>-2027.5065321560539</v>
      </c>
      <c r="S231" s="179">
        <f t="shared" si="13"/>
        <v>101.95954614323541</v>
      </c>
    </row>
    <row r="232" spans="16:19">
      <c r="P232" s="177">
        <f t="shared" si="14"/>
        <v>0.26242447333034519</v>
      </c>
      <c r="Q232" s="178">
        <f t="shared" si="12"/>
        <v>-129.68510955219352</v>
      </c>
      <c r="R232" s="178">
        <f t="shared" si="15"/>
        <v>-2077.5554550261404</v>
      </c>
      <c r="S232" s="179">
        <f t="shared" si="13"/>
        <v>101.79329916928502</v>
      </c>
    </row>
    <row r="233" spans="16:19">
      <c r="P233" s="177">
        <f t="shared" si="14"/>
        <v>0.26342447333034519</v>
      </c>
      <c r="Q233" s="178">
        <f t="shared" si="12"/>
        <v>-132.82761013783698</v>
      </c>
      <c r="R233" s="178">
        <f t="shared" si="15"/>
        <v>-2127.8983144081485</v>
      </c>
      <c r="S233" s="179">
        <f t="shared" si="13"/>
        <v>101.6275934504966</v>
      </c>
    </row>
    <row r="234" spans="16:19">
      <c r="P234" s="177">
        <f t="shared" si="14"/>
        <v>0.26442447333034519</v>
      </c>
      <c r="Q234" s="178">
        <f t="shared" si="12"/>
        <v>-135.98845882035414</v>
      </c>
      <c r="R234" s="178">
        <f t="shared" si="15"/>
        <v>-2178.5351103020735</v>
      </c>
      <c r="S234" s="179">
        <f t="shared" si="13"/>
        <v>101.46242634789553</v>
      </c>
    </row>
    <row r="235" spans="16:19">
      <c r="P235" s="177">
        <f t="shared" si="14"/>
        <v>0.26542447333034519</v>
      </c>
      <c r="Q235" s="178">
        <f t="shared" si="12"/>
        <v>-139.16765559974522</v>
      </c>
      <c r="R235" s="178">
        <f t="shared" si="15"/>
        <v>-2229.4658427079185</v>
      </c>
      <c r="S235" s="179">
        <f t="shared" si="13"/>
        <v>101.29779523963498</v>
      </c>
    </row>
    <row r="236" spans="16:19">
      <c r="P236" s="177">
        <f t="shared" si="14"/>
        <v>0.26642447333034519</v>
      </c>
      <c r="Q236" s="178">
        <f t="shared" si="12"/>
        <v>-142.36520047600993</v>
      </c>
      <c r="R236" s="178">
        <f t="shared" si="15"/>
        <v>-2280.6905116256789</v>
      </c>
      <c r="S236" s="179">
        <f t="shared" si="13"/>
        <v>101.13369752085723</v>
      </c>
    </row>
    <row r="237" spans="16:19">
      <c r="P237" s="177">
        <f t="shared" si="14"/>
        <v>0.26742447333034519</v>
      </c>
      <c r="Q237" s="178">
        <f t="shared" si="12"/>
        <v>-145.58109344914857</v>
      </c>
      <c r="R237" s="178">
        <f t="shared" si="15"/>
        <v>-2332.2091170553599</v>
      </c>
      <c r="S237" s="179">
        <f t="shared" si="13"/>
        <v>100.97013060355623</v>
      </c>
    </row>
    <row r="238" spans="16:19">
      <c r="P238" s="177">
        <f t="shared" si="14"/>
        <v>0.26842447333034519</v>
      </c>
      <c r="Q238" s="178">
        <f t="shared" si="12"/>
        <v>-148.8153345191609</v>
      </c>
      <c r="R238" s="178">
        <f t="shared" si="15"/>
        <v>-2384.0216589969577</v>
      </c>
      <c r="S238" s="179">
        <f t="shared" si="13"/>
        <v>100.80709191644159</v>
      </c>
    </row>
    <row r="239" spans="16:19">
      <c r="P239" s="177">
        <f t="shared" si="14"/>
        <v>0.26942447333034519</v>
      </c>
      <c r="Q239" s="178">
        <f t="shared" si="12"/>
        <v>-152.06792368604704</v>
      </c>
      <c r="R239" s="178">
        <f t="shared" si="15"/>
        <v>-2436.1281374504733</v>
      </c>
      <c r="S239" s="179">
        <f t="shared" si="13"/>
        <v>100.64457890480378</v>
      </c>
    </row>
    <row r="240" spans="16:19">
      <c r="P240" s="177">
        <f t="shared" si="14"/>
        <v>0.27042447333034519</v>
      </c>
      <c r="Q240" s="178">
        <f t="shared" si="12"/>
        <v>-155.33886094980699</v>
      </c>
      <c r="R240" s="178">
        <f t="shared" si="15"/>
        <v>-2488.5285524159081</v>
      </c>
      <c r="S240" s="179">
        <f t="shared" si="13"/>
        <v>100.48258903038079</v>
      </c>
    </row>
  </sheetData>
  <sheetProtection sheet="1" objects="1" scenarios="1"/>
  <phoneticPr fontId="0" type="noConversion"/>
  <printOptions horizontalCentered="1" verticalCentered="1" gridLinesSet="0"/>
  <pageMargins left="0.5" right="0.5" top="0.75" bottom="0.75" header="0.5" footer="0.5"/>
  <pageSetup scale="97" orientation="portrait" horizontalDpi="300" verticalDpi="300" r:id="rId1"/>
  <headerFooter alignWithMargins="0">
    <oddHeader>&amp;A</oddHeader>
    <oddFooter>Page &amp;P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>
  <dimension ref="B1:F12"/>
  <sheetViews>
    <sheetView showGridLines="0" workbookViewId="0">
      <selection activeCell="D6" sqref="D6:D8"/>
    </sheetView>
  </sheetViews>
  <sheetFormatPr defaultRowHeight="12.75"/>
  <cols>
    <col min="1" max="16384" width="9.140625" style="317"/>
  </cols>
  <sheetData>
    <row r="1" spans="2:6">
      <c r="B1" s="315" t="s">
        <v>2</v>
      </c>
      <c r="C1" s="316" t="str">
        <f ca="1">IF('Sieve Data'!H2="","",'Sieve Data'!H2)</f>
        <v/>
      </c>
      <c r="E1" s="310" t="s">
        <v>456</v>
      </c>
      <c r="F1" s="316" t="str">
        <f ca="1">IF('Sieve Data'!K2="","",'Sieve Data'!K2)</f>
        <v/>
      </c>
    </row>
    <row r="2" spans="2:6">
      <c r="B2" s="315" t="s">
        <v>4</v>
      </c>
      <c r="C2" s="316" t="str">
        <f ca="1">IF('Sieve Data'!H3="","",'Sieve Data'!H3)</f>
        <v/>
      </c>
      <c r="E2" s="310" t="s">
        <v>473</v>
      </c>
      <c r="F2" s="316" t="str">
        <f ca="1">IF('Sieve Data'!K3="","",'Sieve Data'!K3)</f>
        <v/>
      </c>
    </row>
    <row r="3" spans="2:6">
      <c r="B3" s="315" t="s">
        <v>6</v>
      </c>
      <c r="C3" s="316" t="str">
        <f ca="1">IF('Sieve Data'!H4="","",'Sieve Data'!H4)</f>
        <v/>
      </c>
      <c r="E3" s="310" t="s">
        <v>458</v>
      </c>
      <c r="F3" s="428" t="str">
        <f ca="1">IF('Sieve Data'!K4="","",'Sieve Data'!K4)</f>
        <v/>
      </c>
    </row>
    <row r="4" spans="2:6">
      <c r="B4" s="318" t="s">
        <v>9</v>
      </c>
      <c r="C4" s="316" t="str">
        <f ca="1">IF('Sieve Data'!H5="","",'Sieve Data'!H5)</f>
        <v/>
      </c>
      <c r="E4" s="310" t="s">
        <v>460</v>
      </c>
      <c r="F4" s="428" t="str">
        <f ca="1">IF('Sieve Data'!K5="","",'Sieve Data'!K5)</f>
        <v/>
      </c>
    </row>
    <row r="6" spans="2:6">
      <c r="C6" s="319" t="s">
        <v>440</v>
      </c>
      <c r="D6" s="434"/>
    </row>
    <row r="7" spans="2:6">
      <c r="C7" s="319" t="s">
        <v>441</v>
      </c>
      <c r="D7" s="434"/>
    </row>
    <row r="8" spans="2:6">
      <c r="C8" s="319" t="s">
        <v>423</v>
      </c>
      <c r="D8" s="434"/>
    </row>
    <row r="9" spans="2:6">
      <c r="C9" s="319" t="s">
        <v>442</v>
      </c>
      <c r="D9" s="317">
        <f>D6-D7</f>
        <v>0</v>
      </c>
    </row>
    <row r="10" spans="2:6">
      <c r="C10" s="319" t="s">
        <v>443</v>
      </c>
      <c r="D10" s="317">
        <f>D7-D8</f>
        <v>0</v>
      </c>
    </row>
    <row r="11" spans="2:6">
      <c r="C11" s="319" t="s">
        <v>271</v>
      </c>
      <c r="D11" s="320" t="e">
        <f>D9/D10</f>
        <v>#DIV/0!</v>
      </c>
    </row>
    <row r="12" spans="2:6">
      <c r="C12" s="157" t="s">
        <v>0</v>
      </c>
      <c r="D12" s="158" t="s">
        <v>474</v>
      </c>
    </row>
  </sheetData>
  <sheetProtection sheet="1" objects="1" scenarios="1"/>
  <phoneticPr fontId="0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AB111"/>
  <sheetViews>
    <sheetView showGridLines="0" showOutlineSymbols="0" workbookViewId="0">
      <selection activeCell="E9" sqref="E9"/>
    </sheetView>
  </sheetViews>
  <sheetFormatPr defaultRowHeight="11.25" outlineLevelCol="1"/>
  <cols>
    <col min="1" max="1" width="18.7109375" style="95" customWidth="1"/>
    <col min="2" max="2" width="9.7109375" style="97" customWidth="1"/>
    <col min="3" max="3" width="8.140625" style="95" customWidth="1"/>
    <col min="4" max="4" width="6.42578125" style="95" customWidth="1"/>
    <col min="5" max="5" width="3.140625" style="95" customWidth="1"/>
    <col min="6" max="7" width="6.7109375" style="95" customWidth="1"/>
    <col min="8" max="8" width="8.7109375" style="95" customWidth="1"/>
    <col min="9" max="9" width="8.7109375" style="96" customWidth="1"/>
    <col min="10" max="14" width="6.7109375" style="95" hidden="1" customWidth="1" outlineLevel="1"/>
    <col min="15" max="19" width="6.7109375" style="97" hidden="1" customWidth="1" outlineLevel="1"/>
    <col min="20" max="22" width="6.7109375" style="95" hidden="1" customWidth="1" outlineLevel="1"/>
    <col min="23" max="23" width="6.7109375" style="95" customWidth="1" collapsed="1"/>
    <col min="24" max="16384" width="9.140625" style="95"/>
  </cols>
  <sheetData>
    <row r="1" spans="1:28" ht="12.75">
      <c r="A1" s="315" t="s">
        <v>2</v>
      </c>
      <c r="B1" s="316" t="str">
        <f ca="1">IF('Sieve Data'!H2="","",'Sieve Data'!H2)</f>
        <v/>
      </c>
      <c r="C1" s="315"/>
      <c r="D1" s="316"/>
      <c r="E1" s="317"/>
      <c r="F1" s="310" t="s">
        <v>456</v>
      </c>
      <c r="G1" s="428" t="str">
        <f ca="1">IF('Sieve Data'!K2="","",'Sieve Data'!K2)</f>
        <v/>
      </c>
    </row>
    <row r="2" spans="1:28" ht="12.75">
      <c r="A2" s="315" t="s">
        <v>4</v>
      </c>
      <c r="B2" s="316" t="str">
        <f ca="1">IF('Sieve Data'!H3="","",'Sieve Data'!H3)</f>
        <v/>
      </c>
      <c r="C2" s="315"/>
      <c r="D2" s="316"/>
      <c r="E2" s="317"/>
      <c r="F2" s="310" t="s">
        <v>473</v>
      </c>
      <c r="G2" s="428" t="str">
        <f ca="1">IF('Sieve Data'!K3="","",'Sieve Data'!K3)</f>
        <v/>
      </c>
      <c r="V2" s="315"/>
      <c r="W2" s="316" t="s">
        <v>476</v>
      </c>
      <c r="X2" s="317"/>
      <c r="Y2" s="310"/>
    </row>
    <row r="3" spans="1:28" ht="12.75">
      <c r="A3" s="315" t="s">
        <v>6</v>
      </c>
      <c r="B3" s="316" t="str">
        <f ca="1">IF('Sieve Data'!H4="","",'Sieve Data'!H4)</f>
        <v/>
      </c>
      <c r="C3" s="315"/>
      <c r="D3" s="316"/>
      <c r="E3" s="317"/>
      <c r="F3" s="310" t="s">
        <v>458</v>
      </c>
      <c r="G3" s="428" t="str">
        <f ca="1">IF('Sieve Data'!K4="","",'Sieve Data'!K4)</f>
        <v/>
      </c>
      <c r="V3" s="315"/>
      <c r="W3" s="316" t="s">
        <v>476</v>
      </c>
      <c r="X3" s="317"/>
      <c r="Y3" s="310"/>
    </row>
    <row r="4" spans="1:28" ht="12.75">
      <c r="A4" s="318" t="s">
        <v>9</v>
      </c>
      <c r="B4" s="316" t="str">
        <f ca="1">IF('Sieve Data'!H5="","",'Sieve Data'!H5)</f>
        <v/>
      </c>
      <c r="C4" s="318"/>
      <c r="D4" s="316"/>
      <c r="E4" s="317"/>
      <c r="F4" s="310" t="s">
        <v>460</v>
      </c>
      <c r="G4" s="428" t="str">
        <f ca="1">IF('Sieve Data'!K5="","",'Sieve Data'!K5)</f>
        <v/>
      </c>
      <c r="V4" s="315"/>
      <c r="W4" s="316" t="s">
        <v>476</v>
      </c>
      <c r="X4" s="317"/>
      <c r="Y4" s="310"/>
    </row>
    <row r="5" spans="1:28" ht="12.75">
      <c r="B5" s="95"/>
      <c r="F5" s="93" t="s">
        <v>187</v>
      </c>
      <c r="G5" s="93"/>
      <c r="H5" s="93"/>
      <c r="I5" s="93"/>
      <c r="J5" s="98" t="s">
        <v>18</v>
      </c>
      <c r="K5" s="99" t="s">
        <v>21</v>
      </c>
      <c r="L5" s="100" t="s">
        <v>188</v>
      </c>
      <c r="O5" s="95"/>
      <c r="P5" s="95"/>
      <c r="Q5" s="95"/>
      <c r="T5" s="101"/>
      <c r="U5" s="97"/>
      <c r="V5" s="97"/>
      <c r="Y5" s="318"/>
      <c r="Z5" s="316" t="s">
        <v>476</v>
      </c>
      <c r="AA5" s="317"/>
      <c r="AB5" s="310"/>
    </row>
    <row r="6" spans="1:28">
      <c r="A6" s="93" t="s">
        <v>189</v>
      </c>
      <c r="B6" s="435">
        <v>2.5</v>
      </c>
      <c r="F6" s="93" t="s">
        <v>190</v>
      </c>
      <c r="G6" s="93"/>
      <c r="H6" s="93"/>
      <c r="I6" s="93"/>
      <c r="J6" s="98" t="s">
        <v>23</v>
      </c>
      <c r="K6" s="99" t="s">
        <v>25</v>
      </c>
      <c r="L6" s="93" t="s">
        <v>191</v>
      </c>
      <c r="O6" s="95"/>
      <c r="P6" s="99" t="s">
        <v>18</v>
      </c>
      <c r="Q6" s="102" t="s">
        <v>18</v>
      </c>
      <c r="R6" s="101" t="s">
        <v>192</v>
      </c>
      <c r="S6" s="97" t="s">
        <v>193</v>
      </c>
      <c r="T6" s="97" t="s">
        <v>194</v>
      </c>
      <c r="U6" s="97" t="s">
        <v>195</v>
      </c>
      <c r="V6" s="97" t="s">
        <v>196</v>
      </c>
    </row>
    <row r="7" spans="1:28">
      <c r="A7" s="93" t="s">
        <v>197</v>
      </c>
      <c r="B7" s="435">
        <v>100</v>
      </c>
      <c r="C7" s="94" t="s">
        <v>198</v>
      </c>
      <c r="F7" s="97"/>
      <c r="G7" s="97"/>
      <c r="H7" s="97"/>
      <c r="I7" s="97"/>
      <c r="J7" s="101" t="s">
        <v>199</v>
      </c>
      <c r="K7" s="103">
        <f ca="1">'Sieve Data'!AB5</f>
        <v>1</v>
      </c>
      <c r="L7" s="104">
        <f t="shared" ref="L7:L22" si="0">CHOOSE(MATCH(J7,$P$8:$P$29,0),75,50,37.5,31.5,25,19,16,12.5,9.5,6.3,4.75,2.36,2,1.18,0.85,0.6,0.425,0.3,0.25,0.18,0.15,0.075)</f>
        <v>75</v>
      </c>
      <c r="M7" s="95" t="s">
        <v>200</v>
      </c>
      <c r="O7" s="95"/>
      <c r="P7" s="99" t="s">
        <v>201</v>
      </c>
      <c r="Q7" s="102" t="s">
        <v>202</v>
      </c>
      <c r="R7" s="101">
        <v>2.4500000000000002</v>
      </c>
      <c r="S7" s="101">
        <v>1.05</v>
      </c>
      <c r="T7" s="105">
        <v>1.456E-2</v>
      </c>
      <c r="U7" s="97">
        <v>1</v>
      </c>
      <c r="V7" s="97">
        <v>16.100000000000001</v>
      </c>
    </row>
    <row r="8" spans="1:28">
      <c r="A8" s="93" t="s">
        <v>203</v>
      </c>
      <c r="B8" s="436">
        <v>2.1499999999999998E-2</v>
      </c>
      <c r="C8" s="94"/>
      <c r="F8" s="97"/>
      <c r="G8" s="97"/>
      <c r="H8" s="97"/>
      <c r="I8" s="97"/>
      <c r="J8" s="101" t="s">
        <v>204</v>
      </c>
      <c r="K8" s="103">
        <f ca="1">'Sieve Data'!AB7</f>
        <v>1</v>
      </c>
      <c r="L8" s="104">
        <f t="shared" si="0"/>
        <v>50</v>
      </c>
      <c r="M8" s="95" t="s">
        <v>200</v>
      </c>
      <c r="O8" s="95"/>
      <c r="P8" s="97" t="s">
        <v>199</v>
      </c>
      <c r="Q8" s="105">
        <v>75</v>
      </c>
      <c r="R8" s="101">
        <v>2.5</v>
      </c>
      <c r="S8" s="101">
        <v>1.03</v>
      </c>
      <c r="T8" s="105">
        <v>1.431E-2</v>
      </c>
      <c r="U8" s="97">
        <f t="shared" ref="U8:U39" si="1">U7+1</f>
        <v>2</v>
      </c>
      <c r="V8" s="97">
        <v>16</v>
      </c>
    </row>
    <row r="9" spans="1:28">
      <c r="A9" s="93" t="s">
        <v>205</v>
      </c>
      <c r="B9" s="101">
        <f>B7/(1+B8)</f>
        <v>97.895252080274105</v>
      </c>
      <c r="C9" s="94" t="s">
        <v>198</v>
      </c>
      <c r="F9" s="97"/>
      <c r="G9" s="97"/>
      <c r="H9" s="97"/>
      <c r="I9" s="97"/>
      <c r="J9" s="101" t="s">
        <v>206</v>
      </c>
      <c r="K9" s="103">
        <f ca="1">'Sieve Data'!AB9</f>
        <v>1</v>
      </c>
      <c r="L9" s="104">
        <f t="shared" si="0"/>
        <v>37.5</v>
      </c>
      <c r="M9" s="95" t="s">
        <v>200</v>
      </c>
      <c r="O9" s="95"/>
      <c r="P9" s="97" t="s">
        <v>204</v>
      </c>
      <c r="Q9" s="105">
        <v>50</v>
      </c>
      <c r="R9" s="101">
        <v>2.5499999999999998</v>
      </c>
      <c r="S9" s="101">
        <v>1.02</v>
      </c>
      <c r="T9" s="105">
        <v>1.4080000000000001E-2</v>
      </c>
      <c r="U9" s="97">
        <f t="shared" si="1"/>
        <v>3</v>
      </c>
      <c r="V9" s="97">
        <v>15.8</v>
      </c>
    </row>
    <row r="10" spans="1:28">
      <c r="A10" s="93"/>
      <c r="B10" s="101"/>
      <c r="F10" s="97"/>
      <c r="G10" s="97"/>
      <c r="H10" s="97"/>
      <c r="I10" s="97"/>
      <c r="J10" s="101" t="s">
        <v>38</v>
      </c>
      <c r="K10" s="103">
        <f ca="1">'Sieve Data'!AB10</f>
        <v>1</v>
      </c>
      <c r="L10" s="104">
        <f t="shared" si="0"/>
        <v>31.5</v>
      </c>
      <c r="M10" s="95" t="s">
        <v>200</v>
      </c>
      <c r="O10" s="95"/>
      <c r="P10" s="97" t="s">
        <v>206</v>
      </c>
      <c r="Q10" s="105">
        <v>37.5</v>
      </c>
      <c r="R10" s="101">
        <v>2.6</v>
      </c>
      <c r="S10" s="101">
        <v>1.01</v>
      </c>
      <c r="T10" s="105">
        <v>1.3860000000000001E-2</v>
      </c>
      <c r="U10" s="97">
        <f t="shared" si="1"/>
        <v>4</v>
      </c>
      <c r="V10" s="97">
        <v>15.6</v>
      </c>
    </row>
    <row r="11" spans="1:28">
      <c r="A11" s="93" t="s">
        <v>207</v>
      </c>
      <c r="B11" s="101"/>
      <c r="F11" s="97"/>
      <c r="G11" s="97"/>
      <c r="H11" s="97"/>
      <c r="I11" s="97"/>
      <c r="J11" s="101" t="s">
        <v>208</v>
      </c>
      <c r="K11" s="103">
        <f ca="1">'Sieve Data'!AB11</f>
        <v>1</v>
      </c>
      <c r="L11" s="104">
        <f t="shared" si="0"/>
        <v>25</v>
      </c>
      <c r="M11" s="95" t="s">
        <v>200</v>
      </c>
      <c r="O11" s="95"/>
      <c r="P11" s="97" t="s">
        <v>38</v>
      </c>
      <c r="Q11" s="105">
        <v>31.5</v>
      </c>
      <c r="R11" s="101">
        <v>2.65</v>
      </c>
      <c r="S11" s="101">
        <v>1</v>
      </c>
      <c r="T11" s="105">
        <v>1.3650000000000001E-2</v>
      </c>
      <c r="U11" s="97">
        <f t="shared" si="1"/>
        <v>5</v>
      </c>
      <c r="V11" s="97">
        <v>15.5</v>
      </c>
    </row>
    <row r="12" spans="1:28">
      <c r="A12" s="93" t="s">
        <v>195</v>
      </c>
      <c r="B12" s="98" t="s">
        <v>209</v>
      </c>
      <c r="C12" s="99" t="s">
        <v>21</v>
      </c>
      <c r="D12" s="100" t="s">
        <v>188</v>
      </c>
      <c r="F12" s="97"/>
      <c r="G12" s="97"/>
      <c r="H12" s="97"/>
      <c r="I12" s="97"/>
      <c r="J12" s="101" t="s">
        <v>42</v>
      </c>
      <c r="K12" s="103">
        <f ca="1">'Sieve Data'!AB13</f>
        <v>1</v>
      </c>
      <c r="L12" s="104">
        <f t="shared" si="0"/>
        <v>19</v>
      </c>
      <c r="M12" s="95" t="s">
        <v>200</v>
      </c>
      <c r="O12" s="95"/>
      <c r="P12" s="97" t="s">
        <v>208</v>
      </c>
      <c r="Q12" s="105">
        <v>25</v>
      </c>
      <c r="R12" s="101">
        <v>2.7</v>
      </c>
      <c r="S12" s="101">
        <v>0.99</v>
      </c>
      <c r="T12" s="105">
        <v>1.3440000000000001E-2</v>
      </c>
      <c r="U12" s="97">
        <f t="shared" si="1"/>
        <v>6</v>
      </c>
      <c r="V12" s="97">
        <v>15.3</v>
      </c>
    </row>
    <row r="13" spans="1:28">
      <c r="A13" s="93" t="s">
        <v>210</v>
      </c>
      <c r="B13" s="99" t="s">
        <v>195</v>
      </c>
      <c r="C13" s="99" t="s">
        <v>25</v>
      </c>
      <c r="D13" s="100" t="s">
        <v>191</v>
      </c>
      <c r="F13" s="97"/>
      <c r="G13" s="97"/>
      <c r="H13" s="97"/>
      <c r="I13" s="97"/>
      <c r="J13" s="101" t="s">
        <v>43</v>
      </c>
      <c r="K13" s="103">
        <f ca="1">'Sieve Data'!AB14</f>
        <v>1</v>
      </c>
      <c r="L13" s="104">
        <f t="shared" si="0"/>
        <v>16</v>
      </c>
      <c r="M13" s="95" t="s">
        <v>200</v>
      </c>
      <c r="O13" s="95"/>
      <c r="P13" s="97" t="s">
        <v>42</v>
      </c>
      <c r="Q13" s="105">
        <v>19</v>
      </c>
      <c r="R13" s="101">
        <v>2.75</v>
      </c>
      <c r="S13" s="101">
        <v>0.98</v>
      </c>
      <c r="T13" s="105">
        <v>1.325E-2</v>
      </c>
      <c r="U13" s="97">
        <f t="shared" si="1"/>
        <v>7</v>
      </c>
      <c r="V13" s="97">
        <v>15.2</v>
      </c>
    </row>
    <row r="14" spans="1:28">
      <c r="A14" s="96">
        <v>2</v>
      </c>
      <c r="B14" s="437"/>
      <c r="C14" s="103">
        <f t="shared" ref="C14:C20" si="2">B14/$B$9*(VLOOKUP($B$6,$R$7:$S$15,2))*$K$22</f>
        <v>0</v>
      </c>
      <c r="D14" s="106" t="e">
        <f t="shared" ref="D14:D20" si="3">(VLOOKUP($B$6,$R$7:$T$16,3))*(SQRT(VLOOKUP(B14,$U$7:$V$66,2)/A14))</f>
        <v>#N/A</v>
      </c>
      <c r="E14" s="95" t="s">
        <v>200</v>
      </c>
      <c r="F14" s="97"/>
      <c r="G14" s="97"/>
      <c r="H14" s="97"/>
      <c r="I14" s="97"/>
      <c r="J14" s="101" t="s">
        <v>44</v>
      </c>
      <c r="K14" s="103">
        <f ca="1">'Sieve Data'!AB15</f>
        <v>1</v>
      </c>
      <c r="L14" s="104">
        <f t="shared" si="0"/>
        <v>12.5</v>
      </c>
      <c r="M14" s="95" t="s">
        <v>200</v>
      </c>
      <c r="O14" s="95"/>
      <c r="P14" s="97" t="s">
        <v>43</v>
      </c>
      <c r="Q14" s="105">
        <v>16</v>
      </c>
      <c r="R14" s="101">
        <v>2.8</v>
      </c>
      <c r="S14" s="101">
        <v>0.97</v>
      </c>
      <c r="T14" s="105">
        <v>1.307E-2</v>
      </c>
      <c r="U14" s="97">
        <f t="shared" si="1"/>
        <v>8</v>
      </c>
      <c r="V14" s="97">
        <v>15</v>
      </c>
    </row>
    <row r="15" spans="1:28">
      <c r="A15" s="96">
        <v>5</v>
      </c>
      <c r="B15" s="437"/>
      <c r="C15" s="103">
        <f t="shared" si="2"/>
        <v>0</v>
      </c>
      <c r="D15" s="106" t="e">
        <f t="shared" si="3"/>
        <v>#N/A</v>
      </c>
      <c r="E15" s="95" t="s">
        <v>200</v>
      </c>
      <c r="F15" s="97"/>
      <c r="G15" s="97"/>
      <c r="H15" s="97"/>
      <c r="I15" s="97"/>
      <c r="J15" s="101" t="s">
        <v>45</v>
      </c>
      <c r="K15" s="103">
        <f ca="1">'Sieve Data'!AB16</f>
        <v>1</v>
      </c>
      <c r="L15" s="104">
        <f t="shared" si="0"/>
        <v>9.5</v>
      </c>
      <c r="M15" s="95" t="s">
        <v>200</v>
      </c>
      <c r="O15" s="95"/>
      <c r="P15" s="97" t="s">
        <v>44</v>
      </c>
      <c r="Q15" s="105">
        <v>12.5</v>
      </c>
      <c r="R15" s="101">
        <v>2.85</v>
      </c>
      <c r="S15" s="101">
        <v>0.96</v>
      </c>
      <c r="T15" s="105">
        <v>1.289E-2</v>
      </c>
      <c r="U15" s="97">
        <f t="shared" si="1"/>
        <v>9</v>
      </c>
      <c r="V15" s="97">
        <v>14.8</v>
      </c>
    </row>
    <row r="16" spans="1:28">
      <c r="A16" s="96">
        <v>15</v>
      </c>
      <c r="B16" s="437"/>
      <c r="C16" s="103">
        <f t="shared" si="2"/>
        <v>0</v>
      </c>
      <c r="D16" s="106" t="e">
        <f t="shared" si="3"/>
        <v>#N/A</v>
      </c>
      <c r="E16" s="95" t="s">
        <v>200</v>
      </c>
      <c r="F16" s="97"/>
      <c r="G16" s="97"/>
      <c r="H16" s="97"/>
      <c r="I16" s="97"/>
      <c r="J16" s="101" t="s">
        <v>46</v>
      </c>
      <c r="K16" s="103">
        <f ca="1">'Sieve Data'!AB17</f>
        <v>1</v>
      </c>
      <c r="L16" s="104">
        <f t="shared" si="0"/>
        <v>6.3</v>
      </c>
      <c r="M16" s="95" t="s">
        <v>200</v>
      </c>
      <c r="N16" s="107">
        <f>L28</f>
        <v>1E-3</v>
      </c>
      <c r="O16" s="108" t="e">
        <f>K28</f>
        <v>#N/A</v>
      </c>
      <c r="P16" s="97" t="s">
        <v>45</v>
      </c>
      <c r="Q16" s="105">
        <v>9.5</v>
      </c>
      <c r="T16" s="97"/>
      <c r="U16" s="97">
        <f t="shared" si="1"/>
        <v>10</v>
      </c>
      <c r="V16" s="97">
        <v>14.7</v>
      </c>
    </row>
    <row r="17" spans="1:22">
      <c r="A17" s="96">
        <v>30</v>
      </c>
      <c r="B17" s="437"/>
      <c r="C17" s="103">
        <f t="shared" si="2"/>
        <v>0</v>
      </c>
      <c r="D17" s="106" t="e">
        <f t="shared" si="3"/>
        <v>#N/A</v>
      </c>
      <c r="E17" s="95" t="s">
        <v>200</v>
      </c>
      <c r="F17" s="97"/>
      <c r="G17" s="97"/>
      <c r="H17" s="97"/>
      <c r="I17" s="97"/>
      <c r="J17" s="103" t="s">
        <v>48</v>
      </c>
      <c r="K17" s="103">
        <f ca="1">'Sieve Data'!AB18</f>
        <v>1</v>
      </c>
      <c r="L17" s="104">
        <f t="shared" si="0"/>
        <v>4.75</v>
      </c>
      <c r="M17" s="95" t="s">
        <v>200</v>
      </c>
      <c r="N17" s="107">
        <f>L27</f>
        <v>2E-3</v>
      </c>
      <c r="O17" s="108" t="e">
        <f>K27</f>
        <v>#N/A</v>
      </c>
      <c r="P17" s="97" t="s">
        <v>46</v>
      </c>
      <c r="Q17" s="105">
        <v>6.3</v>
      </c>
      <c r="T17" s="97"/>
      <c r="U17" s="97">
        <f t="shared" si="1"/>
        <v>11</v>
      </c>
      <c r="V17" s="97">
        <v>14.5</v>
      </c>
    </row>
    <row r="18" spans="1:22">
      <c r="A18" s="96">
        <v>60</v>
      </c>
      <c r="B18" s="437"/>
      <c r="C18" s="103">
        <f t="shared" si="2"/>
        <v>0</v>
      </c>
      <c r="D18" s="106" t="e">
        <f t="shared" si="3"/>
        <v>#N/A</v>
      </c>
      <c r="E18" s="95" t="s">
        <v>200</v>
      </c>
      <c r="F18" s="97"/>
      <c r="G18" s="97"/>
      <c r="H18" s="97"/>
      <c r="I18" s="97"/>
      <c r="J18" s="97" t="s">
        <v>67</v>
      </c>
      <c r="K18" s="103">
        <f ca="1">'Sieve Data'!AB20</f>
        <v>1</v>
      </c>
      <c r="L18" s="104">
        <f t="shared" si="0"/>
        <v>2</v>
      </c>
      <c r="M18" s="95" t="s">
        <v>200</v>
      </c>
      <c r="N18" s="107">
        <f>L26</f>
        <v>5.0000000000000001E-3</v>
      </c>
      <c r="O18" s="108" t="e">
        <f>K26</f>
        <v>#N/A</v>
      </c>
      <c r="P18" s="97" t="s">
        <v>48</v>
      </c>
      <c r="Q18" s="105">
        <v>4.75</v>
      </c>
      <c r="T18" s="97"/>
      <c r="U18" s="97">
        <f t="shared" si="1"/>
        <v>12</v>
      </c>
      <c r="V18" s="97">
        <v>14.3</v>
      </c>
    </row>
    <row r="19" spans="1:22">
      <c r="A19" s="96">
        <v>250</v>
      </c>
      <c r="B19" s="437"/>
      <c r="C19" s="103">
        <f t="shared" si="2"/>
        <v>0</v>
      </c>
      <c r="D19" s="106" t="e">
        <f t="shared" si="3"/>
        <v>#N/A</v>
      </c>
      <c r="E19" s="95" t="s">
        <v>200</v>
      </c>
      <c r="F19" s="97"/>
      <c r="G19" s="97"/>
      <c r="H19" s="97"/>
      <c r="I19" s="97"/>
      <c r="J19" s="97" t="s">
        <v>71</v>
      </c>
      <c r="K19" s="103">
        <f ca="1">'Sieve Data'!AB22</f>
        <v>1</v>
      </c>
      <c r="L19" s="104">
        <f t="shared" si="0"/>
        <v>0.85</v>
      </c>
      <c r="M19" s="95" t="s">
        <v>200</v>
      </c>
      <c r="N19" s="107">
        <f>L25</f>
        <v>0.02</v>
      </c>
      <c r="O19" s="108" t="e">
        <f>K25</f>
        <v>#N/A</v>
      </c>
      <c r="P19" s="97" t="s">
        <v>66</v>
      </c>
      <c r="Q19" s="105">
        <v>2.36</v>
      </c>
      <c r="R19" s="105"/>
      <c r="S19" s="103"/>
      <c r="T19" s="97"/>
      <c r="U19" s="97">
        <f t="shared" si="1"/>
        <v>13</v>
      </c>
      <c r="V19" s="97">
        <v>14.2</v>
      </c>
    </row>
    <row r="20" spans="1:22">
      <c r="A20" s="96">
        <v>1440</v>
      </c>
      <c r="B20" s="437"/>
      <c r="C20" s="103">
        <f t="shared" si="2"/>
        <v>0</v>
      </c>
      <c r="D20" s="106" t="e">
        <f t="shared" si="3"/>
        <v>#N/A</v>
      </c>
      <c r="E20" s="95" t="s">
        <v>200</v>
      </c>
      <c r="F20" s="97"/>
      <c r="G20" s="97"/>
      <c r="H20" s="97"/>
      <c r="I20" s="97"/>
      <c r="J20" s="97" t="s">
        <v>73</v>
      </c>
      <c r="K20" s="103">
        <f ca="1">'Sieve Data'!AB24</f>
        <v>1</v>
      </c>
      <c r="L20" s="104">
        <f t="shared" si="0"/>
        <v>0.42499999999999999</v>
      </c>
      <c r="M20" s="95" t="s">
        <v>200</v>
      </c>
      <c r="N20" s="107">
        <f>L24</f>
        <v>0.05</v>
      </c>
      <c r="O20" s="108" t="e">
        <f>K24</f>
        <v>#N/A</v>
      </c>
      <c r="P20" s="97" t="s">
        <v>67</v>
      </c>
      <c r="Q20" s="105">
        <v>2</v>
      </c>
      <c r="R20" s="105"/>
      <c r="S20" s="103"/>
      <c r="T20" s="97"/>
      <c r="U20" s="97">
        <f t="shared" si="1"/>
        <v>14</v>
      </c>
      <c r="V20" s="97">
        <v>14</v>
      </c>
    </row>
    <row r="21" spans="1:22">
      <c r="F21" s="99"/>
      <c r="G21" s="99"/>
      <c r="H21" s="99"/>
      <c r="I21" s="99"/>
      <c r="J21" s="97" t="s">
        <v>77</v>
      </c>
      <c r="K21" s="103">
        <f ca="1">'Sieve Data'!AB28</f>
        <v>1</v>
      </c>
      <c r="L21" s="104">
        <f t="shared" si="0"/>
        <v>0.15</v>
      </c>
      <c r="M21" s="95" t="s">
        <v>200</v>
      </c>
      <c r="N21" s="107">
        <f>L23</f>
        <v>7.3999999999999996E-2</v>
      </c>
      <c r="O21" s="108" t="e">
        <f>K23</f>
        <v>#N/A</v>
      </c>
      <c r="P21" s="97" t="s">
        <v>69</v>
      </c>
      <c r="Q21" s="105">
        <v>1.18</v>
      </c>
      <c r="R21" s="105"/>
      <c r="S21" s="103"/>
      <c r="T21" s="97"/>
      <c r="U21" s="97">
        <f t="shared" si="1"/>
        <v>15</v>
      </c>
      <c r="V21" s="97">
        <v>13.8</v>
      </c>
    </row>
    <row r="22" spans="1:22">
      <c r="A22" s="93" t="s">
        <v>211</v>
      </c>
      <c r="B22" s="103">
        <f ca="1">'Sieve Data'!K38</f>
        <v>0</v>
      </c>
      <c r="E22" s="93" t="s">
        <v>212</v>
      </c>
      <c r="F22" s="109">
        <f ca="1">'Sieve Data'!K26</f>
        <v>0</v>
      </c>
      <c r="G22" s="109"/>
      <c r="H22" s="109"/>
      <c r="I22" s="109"/>
      <c r="J22" s="97" t="s">
        <v>78</v>
      </c>
      <c r="K22" s="103">
        <f ca="1">'Sieve Data'!AB31</f>
        <v>1</v>
      </c>
      <c r="L22" s="104">
        <f t="shared" si="0"/>
        <v>7.4999999999999997E-2</v>
      </c>
      <c r="M22" s="95" t="s">
        <v>200</v>
      </c>
      <c r="N22" s="107">
        <f t="shared" ref="N22:N28" si="4">L22</f>
        <v>7.4999999999999997E-2</v>
      </c>
      <c r="O22" s="108">
        <f t="shared" ref="O22:O28" si="5">K22</f>
        <v>1</v>
      </c>
      <c r="P22" s="97" t="s">
        <v>71</v>
      </c>
      <c r="Q22" s="105">
        <v>0.85</v>
      </c>
      <c r="R22" s="105"/>
      <c r="S22" s="103"/>
      <c r="T22" s="97"/>
      <c r="U22" s="97">
        <f t="shared" si="1"/>
        <v>16</v>
      </c>
      <c r="V22" s="97">
        <v>13.7</v>
      </c>
    </row>
    <row r="23" spans="1:22">
      <c r="A23" s="93" t="s">
        <v>213</v>
      </c>
      <c r="B23" s="103">
        <f ca="1">'Sieve Data'!K39</f>
        <v>0</v>
      </c>
      <c r="E23" s="93" t="s">
        <v>51</v>
      </c>
      <c r="F23" s="109">
        <f ca="1">'Sieve Data'!K27</f>
        <v>0</v>
      </c>
      <c r="G23" s="109"/>
      <c r="H23" s="109"/>
      <c r="I23" s="109"/>
      <c r="J23" s="93" t="s">
        <v>214</v>
      </c>
      <c r="K23" s="103" t="e">
        <f t="shared" ref="K23:K28" si="6">P31</f>
        <v>#N/A</v>
      </c>
      <c r="L23" s="104">
        <v>7.3999999999999996E-2</v>
      </c>
      <c r="M23" s="95" t="s">
        <v>200</v>
      </c>
      <c r="N23" s="107">
        <f t="shared" si="4"/>
        <v>7.3999999999999996E-2</v>
      </c>
      <c r="O23" s="108" t="e">
        <f t="shared" si="5"/>
        <v>#N/A</v>
      </c>
      <c r="P23" s="97" t="s">
        <v>72</v>
      </c>
      <c r="Q23" s="105">
        <v>0.6</v>
      </c>
      <c r="R23" s="105"/>
      <c r="S23" s="103"/>
      <c r="T23" s="97"/>
      <c r="U23" s="97">
        <f t="shared" si="1"/>
        <v>17</v>
      </c>
      <c r="V23" s="97">
        <v>13.5</v>
      </c>
    </row>
    <row r="24" spans="1:22">
      <c r="A24" s="93" t="s">
        <v>215</v>
      </c>
      <c r="B24" s="103" t="e">
        <f>K22-P34</f>
        <v>#N/A</v>
      </c>
      <c r="E24" s="93" t="s">
        <v>53</v>
      </c>
      <c r="F24" s="109">
        <f ca="1">'Sieve Data'!K28</f>
        <v>0</v>
      </c>
      <c r="G24" s="109"/>
      <c r="H24" s="109"/>
      <c r="I24" s="109"/>
      <c r="J24" s="99"/>
      <c r="K24" s="103" t="e">
        <f t="shared" si="6"/>
        <v>#N/A</v>
      </c>
      <c r="L24" s="104">
        <v>0.05</v>
      </c>
      <c r="M24" s="95" t="s">
        <v>200</v>
      </c>
      <c r="N24" s="107">
        <f t="shared" si="4"/>
        <v>0.05</v>
      </c>
      <c r="O24" s="108" t="e">
        <f t="shared" si="5"/>
        <v>#N/A</v>
      </c>
      <c r="P24" s="97" t="s">
        <v>73</v>
      </c>
      <c r="Q24" s="105">
        <v>0.42499999999999999</v>
      </c>
      <c r="R24" s="105"/>
      <c r="S24" s="103"/>
      <c r="T24" s="97"/>
      <c r="U24" s="97">
        <f t="shared" si="1"/>
        <v>18</v>
      </c>
      <c r="V24" s="97">
        <v>13.3</v>
      </c>
    </row>
    <row r="25" spans="1:22">
      <c r="A25" s="93" t="s">
        <v>216</v>
      </c>
      <c r="B25" s="103" t="e">
        <f>P34</f>
        <v>#N/A</v>
      </c>
      <c r="E25" s="96"/>
      <c r="I25" s="95"/>
      <c r="J25" s="99"/>
      <c r="K25" s="103" t="e">
        <f t="shared" si="6"/>
        <v>#N/A</v>
      </c>
      <c r="L25" s="104">
        <v>0.02</v>
      </c>
      <c r="M25" s="95" t="s">
        <v>200</v>
      </c>
      <c r="N25" s="107">
        <f t="shared" si="4"/>
        <v>0.02</v>
      </c>
      <c r="O25" s="108" t="e">
        <f t="shared" si="5"/>
        <v>#N/A</v>
      </c>
      <c r="P25" s="97" t="s">
        <v>74</v>
      </c>
      <c r="Q25" s="105">
        <v>0.3</v>
      </c>
      <c r="R25" s="105"/>
      <c r="S25" s="103"/>
      <c r="T25" s="97"/>
      <c r="U25" s="97">
        <f t="shared" si="1"/>
        <v>19</v>
      </c>
      <c r="V25" s="97">
        <v>13.2</v>
      </c>
    </row>
    <row r="26" spans="1:22">
      <c r="B26" s="110"/>
      <c r="E26" s="96"/>
      <c r="I26" s="95"/>
      <c r="J26" s="93" t="s">
        <v>217</v>
      </c>
      <c r="K26" s="103" t="e">
        <f t="shared" si="6"/>
        <v>#N/A</v>
      </c>
      <c r="L26" s="104">
        <v>5.0000000000000001E-3</v>
      </c>
      <c r="M26" s="95" t="s">
        <v>200</v>
      </c>
      <c r="N26" s="107">
        <f t="shared" si="4"/>
        <v>5.0000000000000001E-3</v>
      </c>
      <c r="O26" s="108" t="e">
        <f t="shared" si="5"/>
        <v>#N/A</v>
      </c>
      <c r="P26" s="97" t="s">
        <v>75</v>
      </c>
      <c r="Q26" s="105">
        <v>0.25</v>
      </c>
      <c r="R26" s="105"/>
      <c r="S26" s="103"/>
      <c r="T26" s="97"/>
      <c r="U26" s="97">
        <f t="shared" si="1"/>
        <v>20</v>
      </c>
      <c r="V26" s="97">
        <v>13</v>
      </c>
    </row>
    <row r="27" spans="1:22">
      <c r="B27" s="100" t="s">
        <v>218</v>
      </c>
      <c r="I27" s="95"/>
      <c r="J27" s="99"/>
      <c r="K27" s="103" t="e">
        <f t="shared" si="6"/>
        <v>#N/A</v>
      </c>
      <c r="L27" s="104">
        <v>2E-3</v>
      </c>
      <c r="M27" s="95" t="s">
        <v>200</v>
      </c>
      <c r="N27" s="107">
        <f t="shared" si="4"/>
        <v>2E-3</v>
      </c>
      <c r="O27" s="108" t="e">
        <f t="shared" si="5"/>
        <v>#N/A</v>
      </c>
      <c r="P27" s="97" t="s">
        <v>76</v>
      </c>
      <c r="Q27" s="105">
        <v>0.18</v>
      </c>
      <c r="R27" s="105"/>
      <c r="S27" s="103"/>
      <c r="T27" s="97"/>
      <c r="U27" s="97">
        <f t="shared" si="1"/>
        <v>21</v>
      </c>
      <c r="V27" s="97">
        <v>12.9</v>
      </c>
    </row>
    <row r="28" spans="1:22">
      <c r="B28" s="95" t="str">
        <f ca="1">'Sieve Data'!I13</f>
        <v>No Data Provided</v>
      </c>
      <c r="I28" s="95"/>
      <c r="J28" s="93" t="s">
        <v>219</v>
      </c>
      <c r="K28" s="103" t="e">
        <f t="shared" si="6"/>
        <v>#N/A</v>
      </c>
      <c r="L28" s="104">
        <v>1E-3</v>
      </c>
      <c r="M28" s="95" t="s">
        <v>200</v>
      </c>
      <c r="N28" s="107">
        <f t="shared" si="4"/>
        <v>1E-3</v>
      </c>
      <c r="O28" s="108" t="e">
        <f t="shared" si="5"/>
        <v>#N/A</v>
      </c>
      <c r="P28" s="97" t="s">
        <v>77</v>
      </c>
      <c r="Q28" s="105">
        <v>0.15</v>
      </c>
      <c r="R28" s="105"/>
      <c r="S28" s="103"/>
      <c r="T28" s="97"/>
      <c r="U28" s="97">
        <f t="shared" si="1"/>
        <v>22</v>
      </c>
      <c r="V28" s="97">
        <v>12.7</v>
      </c>
    </row>
    <row r="29" spans="1:22">
      <c r="B29" s="95"/>
      <c r="I29" s="95"/>
      <c r="L29" s="96"/>
      <c r="O29" s="95"/>
      <c r="P29" s="97" t="s">
        <v>78</v>
      </c>
      <c r="Q29" s="105">
        <v>7.4999999999999997E-2</v>
      </c>
      <c r="R29" s="105"/>
      <c r="S29" s="103"/>
      <c r="T29" s="97"/>
      <c r="U29" s="97">
        <f t="shared" si="1"/>
        <v>23</v>
      </c>
      <c r="V29" s="97">
        <v>12.5</v>
      </c>
    </row>
    <row r="30" spans="1:22">
      <c r="A30" s="157" t="s">
        <v>0</v>
      </c>
      <c r="B30" s="158" t="s">
        <v>474</v>
      </c>
      <c r="I30" s="95"/>
      <c r="L30" s="96"/>
      <c r="O30" s="95"/>
      <c r="P30" s="95"/>
      <c r="Q30" s="95"/>
      <c r="R30" s="105"/>
      <c r="S30" s="103"/>
      <c r="T30" s="97"/>
      <c r="U30" s="97">
        <f t="shared" si="1"/>
        <v>24</v>
      </c>
      <c r="V30" s="97">
        <v>12.4</v>
      </c>
    </row>
    <row r="31" spans="1:22">
      <c r="B31" s="95"/>
      <c r="I31" s="95"/>
      <c r="L31" s="96"/>
      <c r="O31" s="95"/>
      <c r="P31" s="103" t="e">
        <f>K22-(0.001/(L22-D14)*(K22-C14))</f>
        <v>#N/A</v>
      </c>
      <c r="Q31" s="95"/>
      <c r="R31" s="101" t="s">
        <v>220</v>
      </c>
      <c r="T31" s="97"/>
      <c r="U31" s="97">
        <f t="shared" si="1"/>
        <v>25</v>
      </c>
      <c r="V31" s="97">
        <v>12.2</v>
      </c>
    </row>
    <row r="32" spans="1:22">
      <c r="B32" s="95"/>
      <c r="I32" s="95"/>
      <c r="L32" s="96"/>
      <c r="O32" s="95"/>
      <c r="P32" s="103" t="e">
        <f>IF($D$14&lt;L24,$K$22-($L$22-L24)/($L$22-$D$14)*($K$22-$C$14),IF($D$15&lt;L24,$C$14-($D$14-L24)/($D$14-$D$15)*($C$14-$C$15),IF($D$16&lt;L24,$C$15-($D$15-L24)/($D$15-$D$16)*($C$15-$C$16),IF($D$17&lt;L24,$C$16-($D$16-L24)/($D$16-$D$17)*($C$16-$C$17),IF($D$18&lt;L24,$C$17-($D$17-L24)/($D$17-$D$18)*($C$17-$C$18),IF($D$19&lt;L24,$C$18-($D$18-L24)/($D$18-$D$19)*($C$18-$C$19),IF($D$20&lt;L24,$C$19-($D$19-L24)/($D$19-$D$20)*($C$19-$C$20),$C$20-($D$20-L24)/$D$20*$C$20)))))))</f>
        <v>#N/A</v>
      </c>
      <c r="Q32" s="95"/>
      <c r="R32" s="101"/>
      <c r="T32" s="97"/>
      <c r="U32" s="97">
        <f t="shared" si="1"/>
        <v>26</v>
      </c>
      <c r="V32" s="97">
        <v>12</v>
      </c>
    </row>
    <row r="33" spans="2:23">
      <c r="B33" s="95"/>
      <c r="I33" s="95"/>
      <c r="L33" s="96"/>
      <c r="O33" s="95"/>
      <c r="P33" s="103" t="e">
        <f>IF($D$14&lt;L25,$K$22-($L$22-L25)/($L$22-$D$14)*($K$22-$C$14),IF($D$15&lt;L25,$C$14-($D$14-L25)/($D$14-$D$15)*($C$14-$C$15),IF($D$16&lt;L25,$C$15-($D$15-L25)/($D$15-$D$16)*($C$15-$C$16),IF($D$17&lt;L25,$C$16-($D$16-L25)/($D$16-$D$17)*($C$16-$C$17),IF($D$18&lt;L25,$C$17-($D$17-L25)/($D$17-$D$18)*($C$17-$C$18),IF($D$19&lt;L25,$C$18-($D$18-L25)/($D$18-$D$19)*($C$18-$C$19),IF($D$20&lt;L25,$C$19-($D$19-L25)/($D$19-$D$20)*($C$19-$C$20),$C$20-($D$20-L25)/$D$20*$C$20)))))))</f>
        <v>#N/A</v>
      </c>
      <c r="Q33" s="95"/>
      <c r="R33" s="101"/>
      <c r="T33" s="97"/>
      <c r="U33" s="97">
        <f t="shared" si="1"/>
        <v>27</v>
      </c>
      <c r="V33" s="97">
        <v>11.9</v>
      </c>
    </row>
    <row r="34" spans="2:23">
      <c r="B34" s="95"/>
      <c r="I34" s="95"/>
      <c r="L34" s="96"/>
      <c r="O34" s="95"/>
      <c r="P34" s="103" t="e">
        <f>IF($D$14&lt;L26,$K$22-($L$22-L26)/($L$22-$D$14)*($K$22-$C$14),IF($D$15&lt;L26,$C$14-($D$14-L26)/($D$14-$D$15)*($C$14-$C$15),IF($D$16&lt;L26,$C$15-($D$15-L26)/($D$15-$D$16)*($C$15-$C$16),IF($D$17&lt;L26,$C$16-($D$16-L26)/($D$16-$D$17)*($C$16-$C$17),IF($D$18&lt;L26,$C$17-($D$17-L26)/($D$17-$D$18)*($C$17-$C$18),IF($D$19&lt;L26,$C$18-($D$18-L26)/($D$18-$D$19)*($C$18-$C$19),IF($D$20&lt;L26,$C$19-($D$19-L26)/($D$19-$D$20)*($C$19-$C$20),$C$20-($D$20-L26)/$D$20*$C$20)))))))</f>
        <v>#N/A</v>
      </c>
      <c r="Q34" s="95"/>
      <c r="R34" s="101"/>
      <c r="T34" s="97"/>
      <c r="U34" s="97">
        <f t="shared" si="1"/>
        <v>28</v>
      </c>
      <c r="V34" s="97">
        <v>11.7</v>
      </c>
    </row>
    <row r="35" spans="2:23">
      <c r="B35" s="95"/>
      <c r="I35" s="95"/>
      <c r="L35" s="96"/>
      <c r="O35" s="95"/>
      <c r="P35" s="103" t="e">
        <f>IF($D$14&lt;L27,$K$22-($L$22-L27)/($L$22-$D$14)*($K$22-$C$14),IF($D$15&lt;L27,$C$14-($D$14-L27)/($D$14-$D$15)*($C$14-$C$15),IF($D$16&lt;L27,$C$15-($D$15-L27)/($D$15-$D$16)*($C$15-$C$16),IF($D$17&lt;L27,$C$16-($D$16-L27)/($D$16-$D$17)*($C$16-$C$17),IF($D$18&lt;L27,$C$17-($D$17-L27)/($D$17-$D$18)*($C$17-$C$18),IF($D$19&lt;L27,$C$18-($D$18-L27)/($D$18-$D$19)*($C$18-$C$19),IF($D$20&lt;L27,$C$19-($D$19-L27)/($D$19-$D$20)*($C$19-$C$20),$C$20-($D$20-L27)/$D$20*$C$20)))))))</f>
        <v>#N/A</v>
      </c>
      <c r="Q35" s="95"/>
      <c r="R35" s="101"/>
      <c r="T35" s="97"/>
      <c r="U35" s="97">
        <f t="shared" si="1"/>
        <v>29</v>
      </c>
      <c r="V35" s="97">
        <v>11.5</v>
      </c>
    </row>
    <row r="36" spans="2:23">
      <c r="B36" s="95"/>
      <c r="I36" s="95"/>
      <c r="L36" s="96"/>
      <c r="O36" s="95"/>
      <c r="P36" s="103" t="e">
        <f>IF($D$14&lt;L28,$K$22-($L$22-L28)/($L$22-$D$14)*($K$22-$C$14),IF($D$15&lt;L28,$C$14-($D$14-L28)/($D$14-$D$15)*($C$14-$C$15),IF($D$16&lt;L28,$C$15-($D$15-L28)/($D$15-$D$16)*($C$15-$C$16),IF($D$17&lt;L28,$C$16-($D$16-L28)/($D$16-$D$17)*($C$16-$C$17),IF($D$18&lt;L28,$C$17-($D$17-L28)/($D$17-$D$18)*($C$17-$C$18),IF($D$19&lt;L28,$C$18-($D$18-L28)/($D$18-$D$19)*($C$18-$C$19),IF($D$20&lt;L28,$C$19-($D$19-L28)/($D$19-$D$20)*($C$19-$C$20),$C$20-($D$20-L28)/$D$20*$C$20)))))))</f>
        <v>#N/A</v>
      </c>
      <c r="Q36" s="95"/>
      <c r="R36" s="101"/>
      <c r="T36" s="97"/>
      <c r="U36" s="97">
        <f t="shared" si="1"/>
        <v>30</v>
      </c>
      <c r="V36" s="97">
        <v>11.4</v>
      </c>
    </row>
    <row r="37" spans="2:23">
      <c r="B37" s="95"/>
      <c r="I37" s="95"/>
      <c r="L37" s="96"/>
      <c r="O37" s="95"/>
      <c r="P37" s="95"/>
      <c r="Q37" s="95"/>
      <c r="R37" s="101"/>
      <c r="T37" s="97"/>
      <c r="U37" s="97">
        <f t="shared" si="1"/>
        <v>31</v>
      </c>
      <c r="V37" s="97">
        <v>11.2</v>
      </c>
    </row>
    <row r="38" spans="2:23">
      <c r="B38" s="95"/>
      <c r="F38" s="97"/>
      <c r="G38" s="97"/>
      <c r="H38" s="97"/>
      <c r="I38" s="97"/>
      <c r="L38" s="96"/>
      <c r="O38" s="95"/>
      <c r="P38" s="95"/>
      <c r="Q38" s="95"/>
      <c r="R38" s="101"/>
      <c r="T38" s="97"/>
      <c r="U38" s="97">
        <f t="shared" si="1"/>
        <v>32</v>
      </c>
      <c r="V38" s="97">
        <v>11.1</v>
      </c>
      <c r="W38" s="97"/>
    </row>
    <row r="39" spans="2:23">
      <c r="B39" s="95"/>
      <c r="F39" s="97"/>
      <c r="G39" s="97"/>
      <c r="H39" s="97"/>
      <c r="I39" s="97"/>
      <c r="L39" s="96"/>
      <c r="O39" s="95"/>
      <c r="P39" s="95"/>
      <c r="Q39" s="95"/>
      <c r="R39" s="101"/>
      <c r="T39" s="97"/>
      <c r="U39" s="97">
        <f t="shared" si="1"/>
        <v>33</v>
      </c>
      <c r="V39" s="97">
        <v>10.9</v>
      </c>
      <c r="W39" s="97"/>
    </row>
    <row r="40" spans="2:23">
      <c r="B40" s="95"/>
      <c r="F40" s="97"/>
      <c r="G40" s="97"/>
      <c r="H40" s="97"/>
      <c r="I40" s="97"/>
      <c r="L40" s="96"/>
      <c r="O40" s="95"/>
      <c r="P40" s="95"/>
      <c r="Q40" s="95"/>
      <c r="R40" s="101"/>
      <c r="T40" s="97"/>
      <c r="U40" s="97">
        <f t="shared" ref="U40:U66" si="7">U39+1</f>
        <v>34</v>
      </c>
      <c r="V40" s="97">
        <v>10.7</v>
      </c>
      <c r="W40" s="97"/>
    </row>
    <row r="41" spans="2:23">
      <c r="B41" s="95"/>
      <c r="F41" s="97"/>
      <c r="G41" s="97"/>
      <c r="H41" s="97"/>
      <c r="I41" s="97"/>
      <c r="L41" s="96"/>
      <c r="O41" s="95"/>
      <c r="P41" s="95"/>
      <c r="Q41" s="95"/>
      <c r="R41" s="101"/>
      <c r="T41" s="97"/>
      <c r="U41" s="97">
        <f t="shared" si="7"/>
        <v>35</v>
      </c>
      <c r="V41" s="97">
        <v>10.6</v>
      </c>
      <c r="W41" s="97"/>
    </row>
    <row r="42" spans="2:23">
      <c r="B42" s="95"/>
      <c r="F42" s="97"/>
      <c r="G42" s="97"/>
      <c r="H42" s="97"/>
      <c r="I42" s="97"/>
      <c r="L42" s="96"/>
      <c r="O42" s="95"/>
      <c r="P42" s="95"/>
      <c r="Q42" s="95"/>
      <c r="R42" s="101"/>
      <c r="T42" s="97"/>
      <c r="U42" s="97">
        <f t="shared" si="7"/>
        <v>36</v>
      </c>
      <c r="V42" s="97">
        <v>10.4</v>
      </c>
      <c r="W42" s="97"/>
    </row>
    <row r="43" spans="2:23">
      <c r="B43" s="95"/>
      <c r="F43" s="97"/>
      <c r="G43" s="97"/>
      <c r="H43" s="97"/>
      <c r="I43" s="97"/>
      <c r="L43" s="96"/>
      <c r="O43" s="95"/>
      <c r="P43" s="95"/>
      <c r="Q43" s="95"/>
      <c r="R43" s="101"/>
      <c r="T43" s="97"/>
      <c r="U43" s="97">
        <f t="shared" si="7"/>
        <v>37</v>
      </c>
      <c r="V43" s="97">
        <v>10.199999999999999</v>
      </c>
      <c r="W43" s="97"/>
    </row>
    <row r="44" spans="2:23">
      <c r="B44" s="95"/>
      <c r="F44" s="97"/>
      <c r="G44" s="97"/>
      <c r="H44" s="97"/>
      <c r="I44" s="97"/>
      <c r="L44" s="96"/>
      <c r="O44" s="95"/>
      <c r="P44" s="95"/>
      <c r="Q44" s="95"/>
      <c r="R44" s="101"/>
      <c r="T44" s="97"/>
      <c r="U44" s="97">
        <f t="shared" si="7"/>
        <v>38</v>
      </c>
      <c r="V44" s="97">
        <v>10.1</v>
      </c>
      <c r="W44" s="97"/>
    </row>
    <row r="45" spans="2:23">
      <c r="B45" s="95"/>
      <c r="I45" s="95"/>
      <c r="L45" s="96"/>
      <c r="O45" s="95"/>
      <c r="P45" s="95"/>
      <c r="Q45" s="95"/>
      <c r="R45" s="101"/>
      <c r="T45" s="97"/>
      <c r="U45" s="97">
        <f t="shared" si="7"/>
        <v>39</v>
      </c>
      <c r="V45" s="97">
        <v>9.9</v>
      </c>
    </row>
    <row r="46" spans="2:23">
      <c r="B46" s="95"/>
      <c r="I46" s="95"/>
      <c r="L46" s="96"/>
      <c r="O46" s="95"/>
      <c r="P46" s="95"/>
      <c r="Q46" s="95"/>
      <c r="R46" s="101"/>
      <c r="T46" s="97"/>
      <c r="U46" s="97">
        <f t="shared" si="7"/>
        <v>40</v>
      </c>
      <c r="V46" s="97">
        <v>9.6999999999999993</v>
      </c>
    </row>
    <row r="47" spans="2:23">
      <c r="B47" s="95"/>
      <c r="I47" s="95"/>
      <c r="L47" s="96"/>
      <c r="O47" s="95"/>
      <c r="P47" s="95"/>
      <c r="Q47" s="95"/>
      <c r="R47" s="101"/>
      <c r="T47" s="97"/>
      <c r="U47" s="97">
        <f t="shared" si="7"/>
        <v>41</v>
      </c>
      <c r="V47" s="97">
        <v>9.6</v>
      </c>
    </row>
    <row r="48" spans="2:23">
      <c r="I48" s="95"/>
      <c r="L48" s="96"/>
      <c r="O48" s="95"/>
      <c r="P48" s="95"/>
      <c r="Q48" s="95"/>
      <c r="R48" s="101"/>
      <c r="T48" s="97"/>
      <c r="U48" s="97">
        <f t="shared" si="7"/>
        <v>42</v>
      </c>
      <c r="V48" s="97">
        <v>9.4</v>
      </c>
    </row>
    <row r="49" spans="1:22">
      <c r="A49" s="93"/>
      <c r="I49" s="95"/>
      <c r="L49" s="96"/>
      <c r="O49" s="95"/>
      <c r="P49" s="95"/>
      <c r="Q49" s="95"/>
      <c r="R49" s="101"/>
      <c r="T49" s="97"/>
      <c r="U49" s="97">
        <f t="shared" si="7"/>
        <v>43</v>
      </c>
      <c r="V49" s="97">
        <v>9.1999999999999993</v>
      </c>
    </row>
    <row r="50" spans="1:22">
      <c r="A50" s="93"/>
      <c r="B50" s="99"/>
      <c r="I50" s="95"/>
      <c r="L50" s="96"/>
      <c r="O50" s="95"/>
      <c r="P50" s="95"/>
      <c r="Q50" s="95"/>
      <c r="R50" s="101"/>
      <c r="T50" s="97"/>
      <c r="U50" s="97">
        <f t="shared" si="7"/>
        <v>44</v>
      </c>
      <c r="V50" s="97">
        <v>9.1</v>
      </c>
    </row>
    <row r="51" spans="1:22">
      <c r="I51" s="95"/>
      <c r="L51" s="96"/>
      <c r="O51" s="95"/>
      <c r="P51" s="95"/>
      <c r="Q51" s="95"/>
      <c r="R51" s="101"/>
      <c r="T51" s="97"/>
      <c r="U51" s="97">
        <f t="shared" si="7"/>
        <v>45</v>
      </c>
      <c r="V51" s="97">
        <v>8.9</v>
      </c>
    </row>
    <row r="52" spans="1:22">
      <c r="I52" s="95"/>
      <c r="L52" s="96"/>
      <c r="O52" s="95"/>
      <c r="P52" s="95"/>
      <c r="Q52" s="95"/>
      <c r="R52" s="101"/>
      <c r="T52" s="97"/>
      <c r="U52" s="97">
        <f t="shared" si="7"/>
        <v>46</v>
      </c>
      <c r="V52" s="97">
        <v>8.8000000000000007</v>
      </c>
    </row>
    <row r="53" spans="1:22">
      <c r="I53" s="95"/>
      <c r="L53" s="96"/>
      <c r="O53" s="95"/>
      <c r="P53" s="95"/>
      <c r="Q53" s="95"/>
      <c r="R53" s="101"/>
      <c r="T53" s="97"/>
      <c r="U53" s="97">
        <f t="shared" si="7"/>
        <v>47</v>
      </c>
      <c r="V53" s="97">
        <v>8.6</v>
      </c>
    </row>
    <row r="54" spans="1:22">
      <c r="I54" s="95"/>
      <c r="L54" s="96"/>
      <c r="O54" s="95"/>
      <c r="P54" s="95"/>
      <c r="Q54" s="95"/>
      <c r="R54" s="101"/>
      <c r="T54" s="97"/>
      <c r="U54" s="97">
        <f t="shared" si="7"/>
        <v>48</v>
      </c>
      <c r="V54" s="97">
        <v>8.4</v>
      </c>
    </row>
    <row r="55" spans="1:22">
      <c r="I55" s="95"/>
      <c r="L55" s="96"/>
      <c r="O55" s="95"/>
      <c r="P55" s="95"/>
      <c r="Q55" s="95"/>
      <c r="R55" s="101"/>
      <c r="T55" s="97"/>
      <c r="U55" s="97">
        <f t="shared" si="7"/>
        <v>49</v>
      </c>
      <c r="V55" s="97">
        <v>8.3000000000000007</v>
      </c>
    </row>
    <row r="56" spans="1:22">
      <c r="A56" s="96"/>
      <c r="I56" s="95"/>
      <c r="L56" s="96"/>
      <c r="O56" s="95"/>
      <c r="P56" s="95"/>
      <c r="Q56" s="95"/>
      <c r="R56" s="101"/>
      <c r="T56" s="97"/>
      <c r="U56" s="97">
        <f t="shared" si="7"/>
        <v>50</v>
      </c>
      <c r="V56" s="97">
        <v>8.1</v>
      </c>
    </row>
    <row r="57" spans="1:22">
      <c r="A57" s="96"/>
      <c r="I57" s="95"/>
      <c r="L57" s="96"/>
      <c r="O57" s="95"/>
      <c r="P57" s="95"/>
      <c r="Q57" s="95"/>
      <c r="R57" s="101"/>
      <c r="T57" s="97"/>
      <c r="U57" s="97">
        <f t="shared" si="7"/>
        <v>51</v>
      </c>
      <c r="V57" s="97">
        <v>7.9</v>
      </c>
    </row>
    <row r="58" spans="1:22">
      <c r="A58" s="96"/>
      <c r="I58" s="95"/>
      <c r="L58" s="96"/>
      <c r="O58" s="95"/>
      <c r="P58" s="95"/>
      <c r="Q58" s="95"/>
      <c r="R58" s="101"/>
      <c r="T58" s="97"/>
      <c r="U58" s="97">
        <f t="shared" si="7"/>
        <v>52</v>
      </c>
      <c r="V58" s="97">
        <v>7.8</v>
      </c>
    </row>
    <row r="59" spans="1:22">
      <c r="A59" s="96"/>
      <c r="I59" s="95"/>
      <c r="L59" s="96"/>
      <c r="O59" s="95"/>
      <c r="P59" s="95"/>
      <c r="Q59" s="95"/>
      <c r="R59" s="101"/>
      <c r="T59" s="97"/>
      <c r="U59" s="97">
        <f t="shared" si="7"/>
        <v>53</v>
      </c>
      <c r="V59" s="97">
        <v>7.6</v>
      </c>
    </row>
    <row r="60" spans="1:22">
      <c r="A60" s="96"/>
      <c r="I60" s="95"/>
      <c r="L60" s="96"/>
      <c r="O60" s="95"/>
      <c r="P60" s="95"/>
      <c r="Q60" s="95"/>
      <c r="R60" s="101"/>
      <c r="T60" s="97"/>
      <c r="U60" s="97">
        <f t="shared" si="7"/>
        <v>54</v>
      </c>
      <c r="V60" s="97">
        <v>7.4</v>
      </c>
    </row>
    <row r="61" spans="1:22">
      <c r="A61" s="96"/>
      <c r="I61" s="95"/>
      <c r="L61" s="96"/>
      <c r="O61" s="95"/>
      <c r="P61" s="95"/>
      <c r="Q61" s="95"/>
      <c r="R61" s="101"/>
      <c r="T61" s="97"/>
      <c r="U61" s="97">
        <f t="shared" si="7"/>
        <v>55</v>
      </c>
      <c r="V61" s="97">
        <v>7.3</v>
      </c>
    </row>
    <row r="62" spans="1:22">
      <c r="A62" s="96"/>
      <c r="I62" s="95"/>
      <c r="L62" s="96"/>
      <c r="O62" s="95"/>
      <c r="P62" s="95"/>
      <c r="Q62" s="95"/>
      <c r="R62" s="101"/>
      <c r="T62" s="97"/>
      <c r="U62" s="97">
        <f t="shared" si="7"/>
        <v>56</v>
      </c>
      <c r="V62" s="97">
        <v>7.1</v>
      </c>
    </row>
    <row r="63" spans="1:22">
      <c r="A63" s="96"/>
      <c r="I63" s="95"/>
      <c r="L63" s="96"/>
      <c r="O63" s="95"/>
      <c r="P63" s="95"/>
      <c r="Q63" s="95"/>
      <c r="R63" s="101"/>
      <c r="T63" s="97"/>
      <c r="U63" s="97">
        <f t="shared" si="7"/>
        <v>57</v>
      </c>
      <c r="V63" s="97">
        <v>7</v>
      </c>
    </row>
    <row r="64" spans="1:22">
      <c r="A64" s="96"/>
      <c r="I64" s="95"/>
      <c r="L64" s="96"/>
      <c r="O64" s="95"/>
      <c r="P64" s="95"/>
      <c r="Q64" s="95"/>
      <c r="R64" s="101"/>
      <c r="T64" s="97"/>
      <c r="U64" s="97">
        <f t="shared" si="7"/>
        <v>58</v>
      </c>
      <c r="V64" s="97">
        <v>6.8</v>
      </c>
    </row>
    <row r="65" spans="1:22">
      <c r="A65" s="96"/>
      <c r="I65" s="95"/>
      <c r="L65" s="96"/>
      <c r="O65" s="95"/>
      <c r="P65" s="95"/>
      <c r="Q65" s="95"/>
      <c r="R65" s="101"/>
      <c r="T65" s="97"/>
      <c r="U65" s="97">
        <f t="shared" si="7"/>
        <v>59</v>
      </c>
      <c r="V65" s="97">
        <v>6.6</v>
      </c>
    </row>
    <row r="66" spans="1:22">
      <c r="A66" s="96"/>
      <c r="I66" s="95"/>
      <c r="L66" s="96"/>
      <c r="O66" s="95"/>
      <c r="P66" s="95"/>
      <c r="Q66" s="95"/>
      <c r="R66" s="101"/>
      <c r="T66" s="97"/>
      <c r="U66" s="97">
        <f t="shared" si="7"/>
        <v>60</v>
      </c>
      <c r="V66" s="97">
        <v>6.5</v>
      </c>
    </row>
    <row r="67" spans="1:22">
      <c r="A67" s="96"/>
    </row>
    <row r="68" spans="1:22">
      <c r="A68" s="96"/>
    </row>
    <row r="69" spans="1:22">
      <c r="A69" s="96"/>
    </row>
    <row r="70" spans="1:22">
      <c r="A70" s="96"/>
    </row>
    <row r="71" spans="1:22">
      <c r="A71" s="96"/>
    </row>
    <row r="72" spans="1:22">
      <c r="A72" s="96"/>
    </row>
    <row r="73" spans="1:22">
      <c r="A73" s="96"/>
    </row>
    <row r="74" spans="1:22">
      <c r="A74" s="96"/>
    </row>
    <row r="75" spans="1:22">
      <c r="A75" s="96"/>
    </row>
    <row r="76" spans="1:22">
      <c r="A76" s="96"/>
    </row>
    <row r="77" spans="1:22">
      <c r="A77" s="96"/>
    </row>
    <row r="78" spans="1:22">
      <c r="A78" s="96"/>
    </row>
    <row r="79" spans="1:22">
      <c r="A79" s="96"/>
    </row>
    <row r="80" spans="1:22">
      <c r="A80" s="96"/>
    </row>
    <row r="81" spans="1:1">
      <c r="A81" s="96"/>
    </row>
    <row r="82" spans="1:1">
      <c r="A82" s="96"/>
    </row>
    <row r="83" spans="1:1">
      <c r="A83" s="96"/>
    </row>
    <row r="84" spans="1:1" collapsed="1">
      <c r="A84" s="96"/>
    </row>
    <row r="85" spans="1:1">
      <c r="A85" s="96"/>
    </row>
    <row r="86" spans="1:1">
      <c r="A86" s="96"/>
    </row>
    <row r="87" spans="1:1">
      <c r="A87" s="96"/>
    </row>
    <row r="88" spans="1:1">
      <c r="A88" s="96"/>
    </row>
    <row r="89" spans="1:1">
      <c r="A89" s="96"/>
    </row>
    <row r="90" spans="1:1">
      <c r="A90" s="96"/>
    </row>
    <row r="91" spans="1:1">
      <c r="A91" s="96"/>
    </row>
    <row r="92" spans="1:1">
      <c r="A92" s="96"/>
    </row>
    <row r="93" spans="1:1">
      <c r="A93" s="96"/>
    </row>
    <row r="94" spans="1:1">
      <c r="A94" s="96"/>
    </row>
    <row r="95" spans="1:1">
      <c r="A95" s="96"/>
    </row>
    <row r="96" spans="1:1">
      <c r="A96" s="96"/>
    </row>
    <row r="97" spans="1:1">
      <c r="A97" s="96"/>
    </row>
    <row r="98" spans="1:1">
      <c r="A98" s="96"/>
    </row>
    <row r="99" spans="1:1">
      <c r="A99" s="96"/>
    </row>
    <row r="100" spans="1:1">
      <c r="A100" s="96"/>
    </row>
    <row r="101" spans="1:1">
      <c r="A101" s="96"/>
    </row>
    <row r="102" spans="1:1">
      <c r="A102" s="96"/>
    </row>
    <row r="111" spans="1:1" collapsed="1"/>
  </sheetData>
  <sheetProtection sheet="1" objects="1" scenarios="1"/>
  <phoneticPr fontId="0" type="noConversion"/>
  <printOptions horizontalCentered="1" verticalCentered="1" gridLinesSet="0"/>
  <pageMargins left="0.5" right="0.5" top="0.75" bottom="0.75" header="0.5" footer="0.5"/>
  <pageSetup orientation="portrait" horizontalDpi="300" verticalDpi="300" r:id="rId1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27"/>
  <sheetViews>
    <sheetView showGridLines="0" showOutlineSymbols="0" workbookViewId="0">
      <selection activeCell="F25" sqref="F25"/>
    </sheetView>
  </sheetViews>
  <sheetFormatPr defaultRowHeight="11.25" outlineLevelCol="1"/>
  <cols>
    <col min="1" max="1" width="9.140625" style="95"/>
    <col min="2" max="2" width="12.140625" style="95" customWidth="1"/>
    <col min="3" max="4" width="8.7109375" style="95" customWidth="1"/>
    <col min="5" max="8" width="6.7109375" style="95" customWidth="1"/>
    <col min="9" max="11" width="9.140625" style="95"/>
    <col min="12" max="12" width="8.7109375" style="95" customWidth="1"/>
    <col min="13" max="13" width="8.7109375" style="113" hidden="1" customWidth="1" outlineLevel="1"/>
    <col min="14" max="14" width="8.7109375" style="97" hidden="1" customWidth="1" outlineLevel="1"/>
    <col min="15" max="16" width="8.7109375" style="113" hidden="1" customWidth="1" outlineLevel="1"/>
    <col min="17" max="18" width="8.7109375" style="97" hidden="1" customWidth="1" outlineLevel="1"/>
    <col min="19" max="19" width="8.7109375" style="95" customWidth="1" collapsed="1"/>
    <col min="20" max="16384" width="9.140625" style="95"/>
  </cols>
  <sheetData>
    <row r="1" spans="1:22">
      <c r="A1" s="157" t="s">
        <v>0</v>
      </c>
      <c r="B1" s="158" t="s">
        <v>474</v>
      </c>
    </row>
    <row r="2" spans="1:22" ht="12.75">
      <c r="A2" s="111"/>
      <c r="B2" s="315" t="s">
        <v>2</v>
      </c>
      <c r="C2" s="316" t="str">
        <f ca="1">IF('Sieve Data'!H2="","",'Sieve Data'!H2)</f>
        <v/>
      </c>
      <c r="D2" s="317"/>
      <c r="E2" s="310" t="s">
        <v>456</v>
      </c>
      <c r="F2" s="428" t="str">
        <f ca="1">IF('Sieve Data'!K2="","",'Sieve Data'!K2)</f>
        <v/>
      </c>
      <c r="S2" s="112"/>
      <c r="T2" s="112"/>
    </row>
    <row r="3" spans="1:22" ht="12.75">
      <c r="A3" s="111"/>
      <c r="B3" s="315" t="s">
        <v>4</v>
      </c>
      <c r="C3" s="428" t="str">
        <f ca="1">IF('Sieve Data'!H3="","",'Sieve Data'!H3)</f>
        <v/>
      </c>
      <c r="D3" s="317"/>
      <c r="E3" s="310" t="s">
        <v>473</v>
      </c>
      <c r="F3" s="428" t="str">
        <f ca="1">IF('Sieve Data'!K3="","",'Sieve Data'!K3)</f>
        <v/>
      </c>
      <c r="S3" s="2"/>
      <c r="T3" s="112"/>
      <c r="U3" s="290"/>
      <c r="V3" s="310"/>
    </row>
    <row r="4" spans="1:22" ht="12.75">
      <c r="A4" s="111"/>
      <c r="B4" s="315" t="s">
        <v>6</v>
      </c>
      <c r="C4" s="428" t="str">
        <f ca="1">IF('Sieve Data'!H4="","",'Sieve Data'!H4)</f>
        <v/>
      </c>
      <c r="D4" s="317"/>
      <c r="E4" s="310" t="s">
        <v>458</v>
      </c>
      <c r="F4" s="428" t="str">
        <f ca="1">IF('Sieve Data'!K4="","",'Sieve Data'!K4)</f>
        <v/>
      </c>
      <c r="S4" s="2"/>
      <c r="T4" s="112"/>
      <c r="U4" s="290"/>
      <c r="V4" s="310"/>
    </row>
    <row r="5" spans="1:22" ht="12.75">
      <c r="A5" s="111"/>
      <c r="B5" s="318" t="s">
        <v>9</v>
      </c>
      <c r="C5" s="428" t="str">
        <f ca="1">IF('Sieve Data'!H5="","",'Sieve Data'!H5)</f>
        <v/>
      </c>
      <c r="D5" s="317"/>
      <c r="E5" s="310" t="s">
        <v>460</v>
      </c>
      <c r="F5" s="428" t="str">
        <f ca="1">IF('Sieve Data'!K5="","",'Sieve Data'!K5)</f>
        <v/>
      </c>
      <c r="M5" s="95" t="e">
        <f t="array" ref="M5:N5">LINEST(CHOOSE(O5,C15:C15,C15:D15,C15:E15,C15:F15,C15:G15,C15:H15),CHOOSE(O5,C16:C16,C16:D16,C16:E16,C16:F16,C16:G16,C16:H16))</f>
        <v>#VALUE!</v>
      </c>
      <c r="N5" s="95" t="e">
        <v>#VALUE!</v>
      </c>
      <c r="O5" s="97">
        <f>COUNT(C10:H10)</f>
        <v>0</v>
      </c>
      <c r="S5" s="2"/>
      <c r="T5" s="112"/>
      <c r="U5" s="290"/>
      <c r="V5" s="310"/>
    </row>
    <row r="6" spans="1:22" ht="12">
      <c r="A6" s="111"/>
      <c r="B6" s="173" t="s">
        <v>243</v>
      </c>
      <c r="C6" s="173"/>
      <c r="D6" s="147"/>
      <c r="E6" s="147"/>
      <c r="F6" s="147"/>
      <c r="S6" s="2"/>
      <c r="T6" s="112"/>
      <c r="U6" s="290"/>
      <c r="V6" s="310"/>
    </row>
    <row r="7" spans="1:22" ht="12">
      <c r="A7" s="111"/>
      <c r="B7" s="147" t="str">
        <f ca="1">'Sieve Data'!I13</f>
        <v>No Data Provided</v>
      </c>
      <c r="C7" s="147"/>
      <c r="D7" s="147"/>
      <c r="E7" s="147"/>
      <c r="F7" s="147"/>
      <c r="M7" s="119">
        <v>0</v>
      </c>
      <c r="N7" s="119">
        <v>7.0000000000000007E-2</v>
      </c>
      <c r="O7" s="119">
        <f t="shared" ref="O7:O70" si="0">IF(M7&lt;=0.255,0.04,0.73*(M7-0.2))</f>
        <v>0.04</v>
      </c>
      <c r="P7" s="119">
        <v>0.16</v>
      </c>
      <c r="Q7" s="119">
        <v>0.5</v>
      </c>
      <c r="R7" s="119">
        <f t="shared" ref="R7:R70" si="1">M7</f>
        <v>0</v>
      </c>
      <c r="S7" s="120"/>
      <c r="T7" s="112"/>
    </row>
    <row r="8" spans="1:22" ht="12.75" thickBot="1">
      <c r="B8" s="114" t="s">
        <v>221</v>
      </c>
      <c r="M8" s="119">
        <f t="shared" ref="M8:M71" si="2">M7+0.5/100</f>
        <v>5.0000000000000001E-3</v>
      </c>
      <c r="N8" s="119">
        <v>7.0000000000000007E-2</v>
      </c>
      <c r="O8" s="119">
        <f t="shared" si="0"/>
        <v>0.04</v>
      </c>
      <c r="P8" s="119">
        <v>0.16</v>
      </c>
      <c r="Q8" s="119">
        <v>0.5</v>
      </c>
      <c r="R8" s="119">
        <f t="shared" si="1"/>
        <v>5.0000000000000001E-3</v>
      </c>
      <c r="S8" s="120"/>
      <c r="T8" s="112"/>
    </row>
    <row r="9" spans="1:22" ht="12.75" thickTop="1">
      <c r="A9" s="115"/>
      <c r="B9" s="116"/>
      <c r="C9" s="117" t="s">
        <v>222</v>
      </c>
      <c r="D9" s="117" t="s">
        <v>223</v>
      </c>
      <c r="E9" s="117" t="s">
        <v>224</v>
      </c>
      <c r="F9" s="117" t="s">
        <v>48</v>
      </c>
      <c r="G9" s="117" t="s">
        <v>225</v>
      </c>
      <c r="H9" s="118" t="s">
        <v>226</v>
      </c>
      <c r="M9" s="119">
        <f t="shared" si="2"/>
        <v>0.01</v>
      </c>
      <c r="N9" s="119">
        <v>7.0000000000000007E-2</v>
      </c>
      <c r="O9" s="119">
        <f t="shared" si="0"/>
        <v>0.04</v>
      </c>
      <c r="P9" s="119">
        <v>0.16</v>
      </c>
      <c r="Q9" s="119">
        <v>0.5</v>
      </c>
      <c r="R9" s="119">
        <f t="shared" si="1"/>
        <v>0.01</v>
      </c>
      <c r="S9" s="120"/>
    </row>
    <row r="10" spans="1:22" ht="12">
      <c r="A10" s="121"/>
      <c r="B10" s="122" t="s">
        <v>227</v>
      </c>
      <c r="C10" s="438"/>
      <c r="D10" s="438"/>
      <c r="E10" s="438"/>
      <c r="F10" s="438"/>
      <c r="G10" s="438"/>
      <c r="H10" s="439"/>
      <c r="M10" s="119">
        <f t="shared" si="2"/>
        <v>1.4999999999999999E-2</v>
      </c>
      <c r="N10" s="119">
        <v>7.0000000000000007E-2</v>
      </c>
      <c r="O10" s="119">
        <f t="shared" si="0"/>
        <v>0.04</v>
      </c>
      <c r="P10" s="119">
        <v>0.16</v>
      </c>
      <c r="Q10" s="119">
        <v>0.5</v>
      </c>
      <c r="R10" s="119">
        <f t="shared" si="1"/>
        <v>1.4999999999999999E-2</v>
      </c>
      <c r="S10" s="120"/>
    </row>
    <row r="11" spans="1:22" ht="12">
      <c r="A11" s="121"/>
      <c r="B11" s="122" t="s">
        <v>228</v>
      </c>
      <c r="C11" s="438"/>
      <c r="D11" s="438"/>
      <c r="E11" s="438"/>
      <c r="F11" s="438"/>
      <c r="G11" s="438"/>
      <c r="H11" s="439"/>
      <c r="M11" s="119">
        <f t="shared" si="2"/>
        <v>0.02</v>
      </c>
      <c r="N11" s="119">
        <v>7.0000000000000007E-2</v>
      </c>
      <c r="O11" s="119">
        <f t="shared" si="0"/>
        <v>0.04</v>
      </c>
      <c r="P11" s="119">
        <v>0.16</v>
      </c>
      <c r="Q11" s="119">
        <v>0.5</v>
      </c>
      <c r="R11" s="119">
        <f t="shared" si="1"/>
        <v>0.02</v>
      </c>
      <c r="S11" s="120"/>
    </row>
    <row r="12" spans="1:22" ht="12">
      <c r="A12" s="121"/>
      <c r="B12" s="122" t="s">
        <v>229</v>
      </c>
      <c r="C12" s="438"/>
      <c r="D12" s="438"/>
      <c r="E12" s="438"/>
      <c r="F12" s="438"/>
      <c r="G12" s="438"/>
      <c r="H12" s="439"/>
      <c r="M12" s="119">
        <f t="shared" si="2"/>
        <v>2.5000000000000001E-2</v>
      </c>
      <c r="N12" s="119">
        <v>7.0000000000000007E-2</v>
      </c>
      <c r="O12" s="119">
        <f t="shared" si="0"/>
        <v>0.04</v>
      </c>
      <c r="P12" s="119">
        <v>0.16</v>
      </c>
      <c r="Q12" s="119">
        <v>0.5</v>
      </c>
      <c r="R12" s="119">
        <f t="shared" si="1"/>
        <v>2.5000000000000001E-2</v>
      </c>
      <c r="S12" s="120"/>
    </row>
    <row r="13" spans="1:22" ht="12">
      <c r="A13" s="121"/>
      <c r="B13" s="122" t="s">
        <v>230</v>
      </c>
      <c r="C13" s="123" t="str">
        <f t="shared" ref="C13:H13" si="3">IF(C10&gt;0,ROUND(C11-C12,3),"")</f>
        <v/>
      </c>
      <c r="D13" s="123" t="str">
        <f t="shared" si="3"/>
        <v/>
      </c>
      <c r="E13" s="123" t="str">
        <f t="shared" si="3"/>
        <v/>
      </c>
      <c r="F13" s="123" t="str">
        <f t="shared" si="3"/>
        <v/>
      </c>
      <c r="G13" s="123" t="str">
        <f t="shared" si="3"/>
        <v/>
      </c>
      <c r="H13" s="124" t="str">
        <f t="shared" si="3"/>
        <v/>
      </c>
      <c r="M13" s="119">
        <f t="shared" si="2"/>
        <v>3.0000000000000002E-2</v>
      </c>
      <c r="N13" s="119">
        <v>7.0000000000000007E-2</v>
      </c>
      <c r="O13" s="119">
        <f t="shared" si="0"/>
        <v>0.04</v>
      </c>
      <c r="P13" s="119">
        <v>0.16</v>
      </c>
      <c r="Q13" s="119">
        <v>0.5</v>
      </c>
      <c r="R13" s="119">
        <f t="shared" si="1"/>
        <v>3.0000000000000002E-2</v>
      </c>
      <c r="S13" s="120"/>
    </row>
    <row r="14" spans="1:22" ht="12">
      <c r="A14" s="121"/>
      <c r="B14" s="122" t="s">
        <v>231</v>
      </c>
      <c r="C14" s="123" t="str">
        <f t="shared" ref="C14:H14" si="4">IF(C10&gt;0,ROUND(C10-C11,3),"")</f>
        <v/>
      </c>
      <c r="D14" s="123" t="str">
        <f t="shared" si="4"/>
        <v/>
      </c>
      <c r="E14" s="123" t="str">
        <f t="shared" si="4"/>
        <v/>
      </c>
      <c r="F14" s="123" t="str">
        <f t="shared" si="4"/>
        <v/>
      </c>
      <c r="G14" s="123" t="str">
        <f t="shared" si="4"/>
        <v/>
      </c>
      <c r="H14" s="124" t="str">
        <f t="shared" si="4"/>
        <v/>
      </c>
      <c r="M14" s="119">
        <f t="shared" si="2"/>
        <v>3.5000000000000003E-2</v>
      </c>
      <c r="N14" s="119">
        <v>7.0000000000000007E-2</v>
      </c>
      <c r="O14" s="119">
        <f t="shared" si="0"/>
        <v>0.04</v>
      </c>
      <c r="P14" s="119">
        <v>0.16</v>
      </c>
      <c r="Q14" s="119">
        <v>0.5</v>
      </c>
      <c r="R14" s="119">
        <f t="shared" si="1"/>
        <v>3.5000000000000003E-2</v>
      </c>
      <c r="S14" s="120"/>
    </row>
    <row r="15" spans="1:22" ht="12">
      <c r="A15" s="121"/>
      <c r="B15" s="122" t="s">
        <v>232</v>
      </c>
      <c r="C15" s="125" t="str">
        <f t="shared" ref="C15:H15" si="5">IF(C10&gt;0,ROUND(C14/C13,4),"")</f>
        <v/>
      </c>
      <c r="D15" s="125" t="str">
        <f t="shared" si="5"/>
        <v/>
      </c>
      <c r="E15" s="125" t="str">
        <f t="shared" si="5"/>
        <v/>
      </c>
      <c r="F15" s="125" t="str">
        <f t="shared" si="5"/>
        <v/>
      </c>
      <c r="G15" s="125" t="str">
        <f t="shared" si="5"/>
        <v/>
      </c>
      <c r="H15" s="126" t="str">
        <f t="shared" si="5"/>
        <v/>
      </c>
      <c r="M15" s="119">
        <f t="shared" si="2"/>
        <v>0.04</v>
      </c>
      <c r="N15" s="119">
        <v>7.0000000000000007E-2</v>
      </c>
      <c r="O15" s="119">
        <f t="shared" si="0"/>
        <v>0.04</v>
      </c>
      <c r="P15" s="119">
        <v>0.16</v>
      </c>
      <c r="Q15" s="119">
        <v>0.5</v>
      </c>
      <c r="R15" s="119">
        <f t="shared" si="1"/>
        <v>0.04</v>
      </c>
      <c r="S15" s="120"/>
    </row>
    <row r="16" spans="1:22" ht="12.75" thickBot="1">
      <c r="A16" s="127"/>
      <c r="B16" s="128" t="s">
        <v>233</v>
      </c>
      <c r="C16" s="440">
        <v>17</v>
      </c>
      <c r="D16" s="440">
        <v>32</v>
      </c>
      <c r="E16" s="440">
        <v>48</v>
      </c>
      <c r="F16" s="440"/>
      <c r="G16" s="440"/>
      <c r="H16" s="441"/>
      <c r="M16" s="119">
        <f t="shared" si="2"/>
        <v>4.4999999999999998E-2</v>
      </c>
      <c r="N16" s="119">
        <v>7.0000000000000007E-2</v>
      </c>
      <c r="O16" s="119">
        <f t="shared" si="0"/>
        <v>0.04</v>
      </c>
      <c r="P16" s="119">
        <v>0.16</v>
      </c>
      <c r="Q16" s="119">
        <v>0.5</v>
      </c>
      <c r="R16" s="119">
        <f t="shared" si="1"/>
        <v>4.4999999999999998E-2</v>
      </c>
      <c r="S16" s="120"/>
    </row>
    <row r="17" spans="1:19" ht="12.75" thickTop="1">
      <c r="F17" s="97"/>
      <c r="G17" s="97"/>
      <c r="M17" s="119">
        <f t="shared" si="2"/>
        <v>4.9999999999999996E-2</v>
      </c>
      <c r="N17" s="119">
        <v>7.0000000000000007E-2</v>
      </c>
      <c r="O17" s="119">
        <f t="shared" si="0"/>
        <v>0.04</v>
      </c>
      <c r="P17" s="119">
        <v>0.16</v>
      </c>
      <c r="Q17" s="119">
        <v>0.5</v>
      </c>
      <c r="R17" s="119">
        <f t="shared" si="1"/>
        <v>4.9999999999999996E-2</v>
      </c>
      <c r="S17" s="120"/>
    </row>
    <row r="18" spans="1:19" ht="12">
      <c r="M18" s="119">
        <f t="shared" si="2"/>
        <v>5.4999999999999993E-2</v>
      </c>
      <c r="N18" s="119">
        <v>7.0000000000000007E-2</v>
      </c>
      <c r="O18" s="119">
        <f t="shared" si="0"/>
        <v>0.04</v>
      </c>
      <c r="P18" s="119">
        <v>0.16</v>
      </c>
      <c r="Q18" s="119">
        <v>0.5</v>
      </c>
      <c r="R18" s="119">
        <f t="shared" si="1"/>
        <v>5.4999999999999993E-2</v>
      </c>
      <c r="S18" s="120"/>
    </row>
    <row r="19" spans="1:19" ht="12">
      <c r="B19" s="120"/>
      <c r="C19" s="129" t="s">
        <v>234</v>
      </c>
      <c r="D19" s="110" t="str">
        <f>IF(ISERR((M5*25+N5)),"N/A",(M5*25+N5))</f>
        <v>N/A</v>
      </c>
      <c r="M19" s="119">
        <f t="shared" si="2"/>
        <v>5.9999999999999991E-2</v>
      </c>
      <c r="N19" s="119">
        <v>7.0000000000000007E-2</v>
      </c>
      <c r="O19" s="119">
        <f t="shared" si="0"/>
        <v>0.04</v>
      </c>
      <c r="P19" s="119">
        <v>0.16</v>
      </c>
      <c r="Q19" s="119">
        <v>0.5</v>
      </c>
      <c r="R19" s="119">
        <f t="shared" si="1"/>
        <v>5.9999999999999991E-2</v>
      </c>
      <c r="S19" s="120"/>
    </row>
    <row r="20" spans="1:19" ht="12">
      <c r="B20" s="120"/>
      <c r="C20" s="129" t="s">
        <v>51</v>
      </c>
      <c r="D20" s="110" t="str">
        <f>IF(ISERR(AVERAGE(C30:H30)),"N/A",AVERAGE(C30:H30))</f>
        <v>N/A</v>
      </c>
      <c r="M20" s="119">
        <f t="shared" si="2"/>
        <v>6.4999999999999988E-2</v>
      </c>
      <c r="N20" s="119">
        <v>7.0000000000000007E-2</v>
      </c>
      <c r="O20" s="119">
        <f t="shared" si="0"/>
        <v>0.04</v>
      </c>
      <c r="P20" s="119">
        <v>0.16</v>
      </c>
      <c r="Q20" s="119">
        <v>0.5</v>
      </c>
      <c r="R20" s="119">
        <f t="shared" si="1"/>
        <v>6.4999999999999988E-2</v>
      </c>
      <c r="S20" s="120"/>
    </row>
    <row r="21" spans="1:19" ht="13.5">
      <c r="B21" s="120"/>
      <c r="C21" s="129" t="s">
        <v>236</v>
      </c>
      <c r="D21" s="110" t="str">
        <f>IF(D19="n/a",D19,D19-D20)</f>
        <v>N/A</v>
      </c>
      <c r="M21" s="119">
        <f t="shared" si="2"/>
        <v>6.9999999999999993E-2</v>
      </c>
      <c r="N21" s="119">
        <v>7.0000000000000007E-2</v>
      </c>
      <c r="O21" s="119">
        <f t="shared" si="0"/>
        <v>0.04</v>
      </c>
      <c r="P21" s="119">
        <v>0.16</v>
      </c>
      <c r="Q21" s="119">
        <v>0.5</v>
      </c>
      <c r="R21" s="119">
        <f t="shared" si="1"/>
        <v>6.9999999999999993E-2</v>
      </c>
      <c r="S21" s="120"/>
    </row>
    <row r="22" spans="1:19" ht="12">
      <c r="M22" s="119">
        <f t="shared" si="2"/>
        <v>7.4999999999999997E-2</v>
      </c>
      <c r="N22" s="119">
        <v>7.0000000000000007E-2</v>
      </c>
      <c r="O22" s="119">
        <f t="shared" si="0"/>
        <v>0.04</v>
      </c>
      <c r="P22" s="119">
        <v>0.16</v>
      </c>
      <c r="Q22" s="119">
        <v>0.5</v>
      </c>
      <c r="R22" s="119">
        <f t="shared" si="1"/>
        <v>7.4999999999999997E-2</v>
      </c>
      <c r="S22" s="120"/>
    </row>
    <row r="23" spans="1:19" ht="12.75" thickBot="1">
      <c r="B23" s="114" t="s">
        <v>235</v>
      </c>
      <c r="M23" s="119">
        <f t="shared" si="2"/>
        <v>0.08</v>
      </c>
      <c r="N23" s="119">
        <v>7.0000000000000007E-2</v>
      </c>
      <c r="O23" s="119">
        <f t="shared" si="0"/>
        <v>0.04</v>
      </c>
      <c r="P23" s="119">
        <v>0.16</v>
      </c>
      <c r="Q23" s="119">
        <v>0.5</v>
      </c>
      <c r="R23" s="119">
        <f t="shared" si="1"/>
        <v>0.08</v>
      </c>
      <c r="S23" s="120"/>
    </row>
    <row r="24" spans="1:19" ht="12.75" thickTop="1">
      <c r="A24" s="115"/>
      <c r="B24" s="116"/>
      <c r="C24" s="117" t="s">
        <v>222</v>
      </c>
      <c r="D24" s="117" t="s">
        <v>223</v>
      </c>
      <c r="E24" s="117" t="s">
        <v>224</v>
      </c>
      <c r="F24" s="117" t="s">
        <v>48</v>
      </c>
      <c r="G24" s="117" t="s">
        <v>225</v>
      </c>
      <c r="H24" s="118" t="s">
        <v>226</v>
      </c>
      <c r="M24" s="119">
        <f t="shared" si="2"/>
        <v>8.5000000000000006E-2</v>
      </c>
      <c r="N24" s="119">
        <v>7.0000000000000007E-2</v>
      </c>
      <c r="O24" s="119">
        <f t="shared" si="0"/>
        <v>0.04</v>
      </c>
      <c r="P24" s="119">
        <v>0.16</v>
      </c>
      <c r="Q24" s="119">
        <v>0.5</v>
      </c>
      <c r="R24" s="119">
        <f t="shared" si="1"/>
        <v>8.5000000000000006E-2</v>
      </c>
      <c r="S24" s="120"/>
    </row>
    <row r="25" spans="1:19" ht="12">
      <c r="A25" s="121"/>
      <c r="B25" s="122" t="s">
        <v>227</v>
      </c>
      <c r="C25" s="438"/>
      <c r="D25" s="438"/>
      <c r="E25" s="438"/>
      <c r="F25" s="438"/>
      <c r="G25" s="438"/>
      <c r="H25" s="439"/>
      <c r="M25" s="119">
        <f t="shared" si="2"/>
        <v>9.0000000000000011E-2</v>
      </c>
      <c r="N25" s="119">
        <v>7.0000000000000007E-2</v>
      </c>
      <c r="O25" s="119">
        <f t="shared" si="0"/>
        <v>0.04</v>
      </c>
      <c r="P25" s="119">
        <v>0.16</v>
      </c>
      <c r="Q25" s="119">
        <v>0.5</v>
      </c>
      <c r="R25" s="119">
        <f t="shared" si="1"/>
        <v>9.0000000000000011E-2</v>
      </c>
      <c r="S25" s="120"/>
    </row>
    <row r="26" spans="1:19" ht="12">
      <c r="A26" s="121"/>
      <c r="B26" s="122" t="s">
        <v>228</v>
      </c>
      <c r="C26" s="438"/>
      <c r="D26" s="438"/>
      <c r="E26" s="438"/>
      <c r="F26" s="438"/>
      <c r="G26" s="438"/>
      <c r="H26" s="439"/>
      <c r="M26" s="119">
        <f t="shared" si="2"/>
        <v>9.5000000000000015E-2</v>
      </c>
      <c r="N26" s="119">
        <v>7.0000000000000007E-2</v>
      </c>
      <c r="O26" s="119">
        <f t="shared" si="0"/>
        <v>0.04</v>
      </c>
      <c r="P26" s="119">
        <v>0.16</v>
      </c>
      <c r="Q26" s="119">
        <v>0.5</v>
      </c>
      <c r="R26" s="119">
        <f t="shared" si="1"/>
        <v>9.5000000000000015E-2</v>
      </c>
      <c r="S26" s="120"/>
    </row>
    <row r="27" spans="1:19" ht="12">
      <c r="A27" s="121"/>
      <c r="B27" s="122" t="s">
        <v>229</v>
      </c>
      <c r="C27" s="438"/>
      <c r="D27" s="438"/>
      <c r="E27" s="438"/>
      <c r="F27" s="438"/>
      <c r="G27" s="438"/>
      <c r="H27" s="439"/>
      <c r="M27" s="119">
        <f t="shared" si="2"/>
        <v>0.10000000000000002</v>
      </c>
      <c r="N27" s="119">
        <v>7.0000000000000007E-2</v>
      </c>
      <c r="O27" s="119">
        <f t="shared" si="0"/>
        <v>0.04</v>
      </c>
      <c r="P27" s="119">
        <v>0.16</v>
      </c>
      <c r="Q27" s="119">
        <v>0.5</v>
      </c>
      <c r="R27" s="119">
        <f t="shared" si="1"/>
        <v>0.10000000000000002</v>
      </c>
      <c r="S27" s="120"/>
    </row>
    <row r="28" spans="1:19">
      <c r="A28" s="121"/>
      <c r="B28" s="122" t="s">
        <v>230</v>
      </c>
      <c r="C28" s="123" t="str">
        <f t="shared" ref="C28:H28" si="6">IF(C25&gt;0,ROUND(C26-C27,3),"")</f>
        <v/>
      </c>
      <c r="D28" s="123" t="str">
        <f t="shared" si="6"/>
        <v/>
      </c>
      <c r="E28" s="123" t="str">
        <f t="shared" si="6"/>
        <v/>
      </c>
      <c r="F28" s="123" t="str">
        <f t="shared" si="6"/>
        <v/>
      </c>
      <c r="G28" s="123" t="str">
        <f t="shared" si="6"/>
        <v/>
      </c>
      <c r="H28" s="124" t="str">
        <f t="shared" si="6"/>
        <v/>
      </c>
      <c r="M28" s="119">
        <f t="shared" si="2"/>
        <v>0.10500000000000002</v>
      </c>
      <c r="N28" s="119">
        <v>7.0000000000000007E-2</v>
      </c>
      <c r="O28" s="119">
        <f t="shared" si="0"/>
        <v>0.04</v>
      </c>
      <c r="P28" s="119">
        <v>0.16</v>
      </c>
      <c r="Q28" s="119">
        <v>0.5</v>
      </c>
      <c r="R28" s="119">
        <f t="shared" si="1"/>
        <v>0.10500000000000002</v>
      </c>
    </row>
    <row r="29" spans="1:19">
      <c r="A29" s="121"/>
      <c r="B29" s="122" t="s">
        <v>231</v>
      </c>
      <c r="C29" s="123" t="str">
        <f t="shared" ref="C29:H29" si="7">IF(C25&gt;0,ROUND(C25-C26,3),"")</f>
        <v/>
      </c>
      <c r="D29" s="123" t="str">
        <f t="shared" si="7"/>
        <v/>
      </c>
      <c r="E29" s="123" t="str">
        <f t="shared" si="7"/>
        <v/>
      </c>
      <c r="F29" s="123" t="str">
        <f t="shared" si="7"/>
        <v/>
      </c>
      <c r="G29" s="123" t="str">
        <f t="shared" si="7"/>
        <v/>
      </c>
      <c r="H29" s="124" t="str">
        <f t="shared" si="7"/>
        <v/>
      </c>
      <c r="M29" s="119">
        <f t="shared" si="2"/>
        <v>0.11000000000000003</v>
      </c>
      <c r="N29" s="119">
        <v>7.0000000000000007E-2</v>
      </c>
      <c r="O29" s="119">
        <f t="shared" si="0"/>
        <v>0.04</v>
      </c>
      <c r="P29" s="119">
        <v>0.16</v>
      </c>
      <c r="Q29" s="119">
        <v>0.5</v>
      </c>
      <c r="R29" s="119">
        <f t="shared" si="1"/>
        <v>0.11000000000000003</v>
      </c>
    </row>
    <row r="30" spans="1:19" ht="12" thickBot="1">
      <c r="A30" s="127"/>
      <c r="B30" s="128" t="s">
        <v>232</v>
      </c>
      <c r="C30" s="130" t="str">
        <f t="shared" ref="C30:H30" si="8">IF(C25&gt;0,ROUND(C29/C28,4),"")</f>
        <v/>
      </c>
      <c r="D30" s="130" t="str">
        <f t="shared" si="8"/>
        <v/>
      </c>
      <c r="E30" s="130" t="str">
        <f t="shared" si="8"/>
        <v/>
      </c>
      <c r="F30" s="130" t="str">
        <f t="shared" si="8"/>
        <v/>
      </c>
      <c r="G30" s="130" t="str">
        <f t="shared" si="8"/>
        <v/>
      </c>
      <c r="H30" s="131" t="str">
        <f t="shared" si="8"/>
        <v/>
      </c>
      <c r="M30" s="119">
        <f t="shared" si="2"/>
        <v>0.11500000000000003</v>
      </c>
      <c r="N30" s="119">
        <v>7.0000000000000007E-2</v>
      </c>
      <c r="O30" s="119">
        <f t="shared" si="0"/>
        <v>0.04</v>
      </c>
      <c r="P30" s="119">
        <v>0.16</v>
      </c>
      <c r="Q30" s="119">
        <v>0.5</v>
      </c>
      <c r="R30" s="119">
        <f t="shared" si="1"/>
        <v>0.11500000000000003</v>
      </c>
    </row>
    <row r="31" spans="1:19" ht="12" thickTop="1">
      <c r="M31" s="119">
        <f t="shared" si="2"/>
        <v>0.12000000000000004</v>
      </c>
      <c r="N31" s="119">
        <v>7.0000000000000007E-2</v>
      </c>
      <c r="O31" s="119">
        <f t="shared" si="0"/>
        <v>0.04</v>
      </c>
      <c r="P31" s="119">
        <v>0.16</v>
      </c>
      <c r="Q31" s="119">
        <v>0.5</v>
      </c>
      <c r="R31" s="119">
        <f t="shared" si="1"/>
        <v>0.12000000000000004</v>
      </c>
    </row>
    <row r="32" spans="1:19">
      <c r="M32" s="119">
        <f t="shared" si="2"/>
        <v>0.12500000000000003</v>
      </c>
      <c r="N32" s="119">
        <v>7.0000000000000007E-2</v>
      </c>
      <c r="O32" s="119">
        <f t="shared" si="0"/>
        <v>0.04</v>
      </c>
      <c r="P32" s="119">
        <v>0.16</v>
      </c>
      <c r="Q32" s="119">
        <v>0.5</v>
      </c>
      <c r="R32" s="119">
        <f t="shared" si="1"/>
        <v>0.12500000000000003</v>
      </c>
    </row>
    <row r="33" spans="13:18">
      <c r="M33" s="119">
        <f t="shared" si="2"/>
        <v>0.13000000000000003</v>
      </c>
      <c r="N33" s="119">
        <v>7.0000000000000007E-2</v>
      </c>
      <c r="O33" s="119">
        <f t="shared" si="0"/>
        <v>0.04</v>
      </c>
      <c r="P33" s="119">
        <v>0.16</v>
      </c>
      <c r="Q33" s="119">
        <v>0.5</v>
      </c>
      <c r="R33" s="119">
        <f t="shared" si="1"/>
        <v>0.13000000000000003</v>
      </c>
    </row>
    <row r="34" spans="13:18">
      <c r="M34" s="119">
        <f t="shared" si="2"/>
        <v>0.13500000000000004</v>
      </c>
      <c r="N34" s="119">
        <v>7.0000000000000007E-2</v>
      </c>
      <c r="O34" s="119">
        <f t="shared" si="0"/>
        <v>0.04</v>
      </c>
      <c r="P34" s="119">
        <v>0.16</v>
      </c>
      <c r="Q34" s="119">
        <v>0.5</v>
      </c>
      <c r="R34" s="119">
        <f t="shared" si="1"/>
        <v>0.13500000000000004</v>
      </c>
    </row>
    <row r="35" spans="13:18">
      <c r="M35" s="119">
        <f t="shared" si="2"/>
        <v>0.14000000000000004</v>
      </c>
      <c r="N35" s="119">
        <v>7.0000000000000007E-2</v>
      </c>
      <c r="O35" s="119">
        <f t="shared" si="0"/>
        <v>0.04</v>
      </c>
      <c r="P35" s="119">
        <v>0.16</v>
      </c>
      <c r="Q35" s="119">
        <v>0.5</v>
      </c>
      <c r="R35" s="119">
        <f t="shared" si="1"/>
        <v>0.14000000000000004</v>
      </c>
    </row>
    <row r="36" spans="13:18">
      <c r="M36" s="119">
        <f t="shared" si="2"/>
        <v>0.14500000000000005</v>
      </c>
      <c r="N36" s="119">
        <v>7.0000000000000007E-2</v>
      </c>
      <c r="O36" s="119">
        <f t="shared" si="0"/>
        <v>0.04</v>
      </c>
      <c r="P36" s="119">
        <v>0.16</v>
      </c>
      <c r="Q36" s="119">
        <v>0.5</v>
      </c>
      <c r="R36" s="119">
        <f t="shared" si="1"/>
        <v>0.14500000000000005</v>
      </c>
    </row>
    <row r="37" spans="13:18">
      <c r="M37" s="119">
        <f t="shared" si="2"/>
        <v>0.15000000000000005</v>
      </c>
      <c r="N37" s="119">
        <v>7.0000000000000007E-2</v>
      </c>
      <c r="O37" s="119">
        <f t="shared" si="0"/>
        <v>0.04</v>
      </c>
      <c r="P37" s="119">
        <v>0.16</v>
      </c>
      <c r="Q37" s="119">
        <v>0.5</v>
      </c>
      <c r="R37" s="119">
        <f t="shared" si="1"/>
        <v>0.15000000000000005</v>
      </c>
    </row>
    <row r="38" spans="13:18">
      <c r="M38" s="119">
        <f t="shared" si="2"/>
        <v>0.15500000000000005</v>
      </c>
      <c r="N38" s="119">
        <v>7.0000000000000007E-2</v>
      </c>
      <c r="O38" s="119">
        <f t="shared" si="0"/>
        <v>0.04</v>
      </c>
      <c r="P38" s="119">
        <v>0.16</v>
      </c>
      <c r="Q38" s="119">
        <v>0.5</v>
      </c>
      <c r="R38" s="119">
        <f t="shared" si="1"/>
        <v>0.15500000000000005</v>
      </c>
    </row>
    <row r="39" spans="13:18">
      <c r="M39" s="119">
        <f t="shared" si="2"/>
        <v>0.16000000000000006</v>
      </c>
      <c r="N39" s="119">
        <v>7.0000000000000007E-2</v>
      </c>
      <c r="O39" s="119">
        <f t="shared" si="0"/>
        <v>0.04</v>
      </c>
      <c r="P39" s="119">
        <v>0.16</v>
      </c>
      <c r="Q39" s="119">
        <v>0.5</v>
      </c>
      <c r="R39" s="119">
        <f t="shared" si="1"/>
        <v>0.16000000000000006</v>
      </c>
    </row>
    <row r="40" spans="13:18">
      <c r="M40" s="119">
        <f t="shared" si="2"/>
        <v>0.16500000000000006</v>
      </c>
      <c r="N40" s="119">
        <v>7.0000000000000007E-2</v>
      </c>
      <c r="O40" s="119">
        <f t="shared" si="0"/>
        <v>0.04</v>
      </c>
      <c r="P40" s="119">
        <f t="shared" ref="P40:P71" si="9">0.9*(M40-0.08)</f>
        <v>7.6500000000000054E-2</v>
      </c>
      <c r="Q40" s="119">
        <v>0.5</v>
      </c>
      <c r="R40" s="119">
        <f t="shared" si="1"/>
        <v>0.16500000000000006</v>
      </c>
    </row>
    <row r="41" spans="13:18">
      <c r="M41" s="119">
        <f t="shared" si="2"/>
        <v>0.17000000000000007</v>
      </c>
      <c r="N41" s="119">
        <v>7.0000000000000007E-2</v>
      </c>
      <c r="O41" s="119">
        <f t="shared" si="0"/>
        <v>0.04</v>
      </c>
      <c r="P41" s="119">
        <f t="shared" si="9"/>
        <v>8.1000000000000058E-2</v>
      </c>
      <c r="Q41" s="119">
        <v>0.5</v>
      </c>
      <c r="R41" s="119">
        <f t="shared" si="1"/>
        <v>0.17000000000000007</v>
      </c>
    </row>
    <row r="42" spans="13:18">
      <c r="M42" s="119">
        <f t="shared" si="2"/>
        <v>0.17500000000000007</v>
      </c>
      <c r="N42" s="119">
        <v>7.0000000000000007E-2</v>
      </c>
      <c r="O42" s="119">
        <f t="shared" si="0"/>
        <v>0.04</v>
      </c>
      <c r="P42" s="119">
        <f t="shared" si="9"/>
        <v>8.5500000000000062E-2</v>
      </c>
      <c r="Q42" s="119">
        <v>0.5</v>
      </c>
      <c r="R42" s="119">
        <f t="shared" si="1"/>
        <v>0.17500000000000007</v>
      </c>
    </row>
    <row r="43" spans="13:18">
      <c r="M43" s="119">
        <f t="shared" si="2"/>
        <v>0.18000000000000008</v>
      </c>
      <c r="N43" s="119">
        <v>7.0000000000000007E-2</v>
      </c>
      <c r="O43" s="119">
        <f t="shared" si="0"/>
        <v>0.04</v>
      </c>
      <c r="P43" s="119">
        <f t="shared" si="9"/>
        <v>9.0000000000000066E-2</v>
      </c>
      <c r="Q43" s="119">
        <v>0.5</v>
      </c>
      <c r="R43" s="119">
        <f t="shared" si="1"/>
        <v>0.18000000000000008</v>
      </c>
    </row>
    <row r="44" spans="13:18">
      <c r="M44" s="119">
        <f t="shared" si="2"/>
        <v>0.18500000000000008</v>
      </c>
      <c r="N44" s="119">
        <v>7.0000000000000007E-2</v>
      </c>
      <c r="O44" s="119">
        <f t="shared" si="0"/>
        <v>0.04</v>
      </c>
      <c r="P44" s="119">
        <f t="shared" si="9"/>
        <v>9.450000000000007E-2</v>
      </c>
      <c r="Q44" s="119">
        <v>0.5</v>
      </c>
      <c r="R44" s="119">
        <f t="shared" si="1"/>
        <v>0.18500000000000008</v>
      </c>
    </row>
    <row r="45" spans="13:18">
      <c r="M45" s="119">
        <f t="shared" si="2"/>
        <v>0.19000000000000009</v>
      </c>
      <c r="N45" s="119">
        <v>7.0000000000000007E-2</v>
      </c>
      <c r="O45" s="119">
        <f t="shared" si="0"/>
        <v>0.04</v>
      </c>
      <c r="P45" s="119">
        <f t="shared" si="9"/>
        <v>9.9000000000000074E-2</v>
      </c>
      <c r="Q45" s="119">
        <v>0.5</v>
      </c>
      <c r="R45" s="119">
        <f t="shared" si="1"/>
        <v>0.19000000000000009</v>
      </c>
    </row>
    <row r="46" spans="13:18">
      <c r="M46" s="119">
        <f t="shared" si="2"/>
        <v>0.19500000000000009</v>
      </c>
      <c r="N46" s="119">
        <v>7.0000000000000007E-2</v>
      </c>
      <c r="O46" s="119">
        <f t="shared" si="0"/>
        <v>0.04</v>
      </c>
      <c r="P46" s="119">
        <f t="shared" si="9"/>
        <v>0.10350000000000008</v>
      </c>
      <c r="Q46" s="119">
        <v>0.5</v>
      </c>
      <c r="R46" s="119">
        <f t="shared" si="1"/>
        <v>0.19500000000000009</v>
      </c>
    </row>
    <row r="47" spans="13:18">
      <c r="M47" s="119">
        <f t="shared" si="2"/>
        <v>0.20000000000000009</v>
      </c>
      <c r="N47" s="119">
        <v>7.0000000000000007E-2</v>
      </c>
      <c r="O47" s="119">
        <f t="shared" si="0"/>
        <v>0.04</v>
      </c>
      <c r="P47" s="119">
        <f t="shared" si="9"/>
        <v>0.10800000000000008</v>
      </c>
      <c r="Q47" s="119">
        <v>0.5</v>
      </c>
      <c r="R47" s="119">
        <f t="shared" si="1"/>
        <v>0.20000000000000009</v>
      </c>
    </row>
    <row r="48" spans="13:18">
      <c r="M48" s="119">
        <f t="shared" si="2"/>
        <v>0.2050000000000001</v>
      </c>
      <c r="N48" s="119">
        <v>7.0000000000000007E-2</v>
      </c>
      <c r="O48" s="119">
        <f t="shared" si="0"/>
        <v>0.04</v>
      </c>
      <c r="P48" s="119">
        <f t="shared" si="9"/>
        <v>0.1125000000000001</v>
      </c>
      <c r="Q48" s="119">
        <v>0.5</v>
      </c>
      <c r="R48" s="119">
        <f t="shared" si="1"/>
        <v>0.2050000000000001</v>
      </c>
    </row>
    <row r="49" spans="13:18">
      <c r="M49" s="119">
        <f t="shared" si="2"/>
        <v>0.2100000000000001</v>
      </c>
      <c r="N49" s="119">
        <v>7.0000000000000007E-2</v>
      </c>
      <c r="O49" s="119">
        <f t="shared" si="0"/>
        <v>0.04</v>
      </c>
      <c r="P49" s="119">
        <f t="shared" si="9"/>
        <v>0.1170000000000001</v>
      </c>
      <c r="Q49" s="119">
        <v>0.5</v>
      </c>
      <c r="R49" s="119">
        <f t="shared" si="1"/>
        <v>0.2100000000000001</v>
      </c>
    </row>
    <row r="50" spans="13:18">
      <c r="M50" s="119">
        <f t="shared" si="2"/>
        <v>0.21500000000000011</v>
      </c>
      <c r="N50" s="119">
        <v>7.0000000000000007E-2</v>
      </c>
      <c r="O50" s="119">
        <f t="shared" si="0"/>
        <v>0.04</v>
      </c>
      <c r="P50" s="119">
        <f t="shared" si="9"/>
        <v>0.12150000000000011</v>
      </c>
      <c r="Q50" s="119">
        <v>0.5</v>
      </c>
      <c r="R50" s="119">
        <f t="shared" si="1"/>
        <v>0.21500000000000011</v>
      </c>
    </row>
    <row r="51" spans="13:18">
      <c r="M51" s="119">
        <f t="shared" si="2"/>
        <v>0.22000000000000011</v>
      </c>
      <c r="N51" s="119">
        <v>7.0000000000000007E-2</v>
      </c>
      <c r="O51" s="119">
        <f t="shared" si="0"/>
        <v>0.04</v>
      </c>
      <c r="P51" s="119">
        <f t="shared" si="9"/>
        <v>0.12600000000000011</v>
      </c>
      <c r="Q51" s="119">
        <v>0.5</v>
      </c>
      <c r="R51" s="119">
        <f t="shared" si="1"/>
        <v>0.22000000000000011</v>
      </c>
    </row>
    <row r="52" spans="13:18">
      <c r="M52" s="119">
        <f t="shared" si="2"/>
        <v>0.22500000000000012</v>
      </c>
      <c r="N52" s="119">
        <v>7.0000000000000007E-2</v>
      </c>
      <c r="O52" s="119">
        <f t="shared" si="0"/>
        <v>0.04</v>
      </c>
      <c r="P52" s="119">
        <f t="shared" si="9"/>
        <v>0.13050000000000012</v>
      </c>
      <c r="Q52" s="119">
        <v>0.5</v>
      </c>
      <c r="R52" s="119">
        <f t="shared" si="1"/>
        <v>0.22500000000000012</v>
      </c>
    </row>
    <row r="53" spans="13:18">
      <c r="M53" s="119">
        <f t="shared" si="2"/>
        <v>0.23000000000000012</v>
      </c>
      <c r="N53" s="119">
        <v>7.0000000000000007E-2</v>
      </c>
      <c r="O53" s="119">
        <f t="shared" si="0"/>
        <v>0.04</v>
      </c>
      <c r="P53" s="119">
        <f t="shared" si="9"/>
        <v>0.13500000000000012</v>
      </c>
      <c r="Q53" s="119">
        <v>0.5</v>
      </c>
      <c r="R53" s="119">
        <f t="shared" si="1"/>
        <v>0.23000000000000012</v>
      </c>
    </row>
    <row r="54" spans="13:18">
      <c r="M54" s="119">
        <f t="shared" si="2"/>
        <v>0.23500000000000013</v>
      </c>
      <c r="N54" s="119">
        <v>7.0000000000000007E-2</v>
      </c>
      <c r="O54" s="119">
        <f t="shared" si="0"/>
        <v>0.04</v>
      </c>
      <c r="P54" s="119">
        <f t="shared" si="9"/>
        <v>0.13950000000000012</v>
      </c>
      <c r="Q54" s="119">
        <v>0.5</v>
      </c>
      <c r="R54" s="119">
        <f t="shared" si="1"/>
        <v>0.23500000000000013</v>
      </c>
    </row>
    <row r="55" spans="13:18">
      <c r="M55" s="119">
        <f t="shared" si="2"/>
        <v>0.24000000000000013</v>
      </c>
      <c r="N55" s="119">
        <v>7.0000000000000007E-2</v>
      </c>
      <c r="O55" s="119">
        <f t="shared" si="0"/>
        <v>0.04</v>
      </c>
      <c r="P55" s="119">
        <f t="shared" si="9"/>
        <v>0.14400000000000013</v>
      </c>
      <c r="Q55" s="119">
        <v>0.5</v>
      </c>
      <c r="R55" s="119">
        <f t="shared" si="1"/>
        <v>0.24000000000000013</v>
      </c>
    </row>
    <row r="56" spans="13:18">
      <c r="M56" s="119">
        <f t="shared" si="2"/>
        <v>0.24500000000000013</v>
      </c>
      <c r="N56" s="119">
        <v>7.0000000000000007E-2</v>
      </c>
      <c r="O56" s="119">
        <f t="shared" si="0"/>
        <v>0.04</v>
      </c>
      <c r="P56" s="119">
        <f t="shared" si="9"/>
        <v>0.14850000000000013</v>
      </c>
      <c r="Q56" s="119">
        <v>0.5</v>
      </c>
      <c r="R56" s="119">
        <f t="shared" si="1"/>
        <v>0.24500000000000013</v>
      </c>
    </row>
    <row r="57" spans="13:18">
      <c r="M57" s="119">
        <f t="shared" si="2"/>
        <v>0.25000000000000011</v>
      </c>
      <c r="N57" s="119">
        <v>7.0000000000000007E-2</v>
      </c>
      <c r="O57" s="119">
        <f t="shared" si="0"/>
        <v>0.04</v>
      </c>
      <c r="P57" s="119">
        <f t="shared" si="9"/>
        <v>0.15300000000000008</v>
      </c>
      <c r="Q57" s="119">
        <v>0.5</v>
      </c>
      <c r="R57" s="119">
        <f t="shared" si="1"/>
        <v>0.25000000000000011</v>
      </c>
    </row>
    <row r="58" spans="13:18">
      <c r="M58" s="119">
        <f t="shared" si="2"/>
        <v>0.25500000000000012</v>
      </c>
      <c r="N58" s="119">
        <v>7.0000000000000007E-2</v>
      </c>
      <c r="O58" s="119">
        <f t="shared" si="0"/>
        <v>0.04</v>
      </c>
      <c r="P58" s="119">
        <f t="shared" si="9"/>
        <v>0.15750000000000008</v>
      </c>
      <c r="Q58" s="119">
        <v>0.5</v>
      </c>
      <c r="R58" s="119">
        <f t="shared" si="1"/>
        <v>0.25500000000000012</v>
      </c>
    </row>
    <row r="59" spans="13:18">
      <c r="M59" s="119">
        <f t="shared" si="2"/>
        <v>0.26000000000000012</v>
      </c>
      <c r="N59" s="119">
        <v>7.0000000000000007E-2</v>
      </c>
      <c r="O59" s="119">
        <f t="shared" si="0"/>
        <v>4.3800000000000075E-2</v>
      </c>
      <c r="P59" s="119">
        <f t="shared" si="9"/>
        <v>0.16200000000000009</v>
      </c>
      <c r="Q59" s="119">
        <v>0.5</v>
      </c>
      <c r="R59" s="119">
        <f t="shared" si="1"/>
        <v>0.26000000000000012</v>
      </c>
    </row>
    <row r="60" spans="13:18">
      <c r="M60" s="119">
        <f t="shared" si="2"/>
        <v>0.26500000000000012</v>
      </c>
      <c r="N60" s="119">
        <v>7.0000000000000007E-2</v>
      </c>
      <c r="O60" s="119">
        <f t="shared" si="0"/>
        <v>4.7450000000000082E-2</v>
      </c>
      <c r="P60" s="119">
        <f t="shared" si="9"/>
        <v>0.16650000000000009</v>
      </c>
      <c r="Q60" s="119">
        <v>0.5</v>
      </c>
      <c r="R60" s="119">
        <f t="shared" si="1"/>
        <v>0.26500000000000012</v>
      </c>
    </row>
    <row r="61" spans="13:18">
      <c r="M61" s="119">
        <f t="shared" si="2"/>
        <v>0.27000000000000013</v>
      </c>
      <c r="N61" s="119">
        <v>7.0000000000000007E-2</v>
      </c>
      <c r="O61" s="119">
        <f t="shared" si="0"/>
        <v>5.1100000000000083E-2</v>
      </c>
      <c r="P61" s="119">
        <f t="shared" si="9"/>
        <v>0.1710000000000001</v>
      </c>
      <c r="Q61" s="119">
        <v>0.5</v>
      </c>
      <c r="R61" s="119">
        <f t="shared" si="1"/>
        <v>0.27000000000000013</v>
      </c>
    </row>
    <row r="62" spans="13:18">
      <c r="M62" s="119">
        <f t="shared" si="2"/>
        <v>0.27500000000000013</v>
      </c>
      <c r="N62" s="119">
        <v>7.0000000000000007E-2</v>
      </c>
      <c r="O62" s="119">
        <f t="shared" si="0"/>
        <v>5.475000000000009E-2</v>
      </c>
      <c r="P62" s="119">
        <f t="shared" si="9"/>
        <v>0.1755000000000001</v>
      </c>
      <c r="Q62" s="119">
        <v>0.5</v>
      </c>
      <c r="R62" s="119">
        <f t="shared" si="1"/>
        <v>0.27500000000000013</v>
      </c>
    </row>
    <row r="63" spans="13:18">
      <c r="M63" s="119">
        <f t="shared" si="2"/>
        <v>0.28000000000000014</v>
      </c>
      <c r="N63" s="119">
        <v>7.0000000000000007E-2</v>
      </c>
      <c r="O63" s="119">
        <f t="shared" si="0"/>
        <v>5.8400000000000091E-2</v>
      </c>
      <c r="P63" s="119">
        <f t="shared" si="9"/>
        <v>0.1800000000000001</v>
      </c>
      <c r="Q63" s="119">
        <v>0.5</v>
      </c>
      <c r="R63" s="119">
        <f t="shared" si="1"/>
        <v>0.28000000000000014</v>
      </c>
    </row>
    <row r="64" spans="13:18">
      <c r="M64" s="119">
        <f t="shared" si="2"/>
        <v>0.28500000000000014</v>
      </c>
      <c r="N64" s="119">
        <v>7.0000000000000007E-2</v>
      </c>
      <c r="O64" s="119">
        <f t="shared" si="0"/>
        <v>6.2050000000000091E-2</v>
      </c>
      <c r="P64" s="119">
        <f t="shared" si="9"/>
        <v>0.18450000000000011</v>
      </c>
      <c r="Q64" s="119">
        <v>0.5</v>
      </c>
      <c r="R64" s="119">
        <f t="shared" si="1"/>
        <v>0.28500000000000014</v>
      </c>
    </row>
    <row r="65" spans="13:18">
      <c r="M65" s="119">
        <f t="shared" si="2"/>
        <v>0.29000000000000015</v>
      </c>
      <c r="N65" s="119">
        <v>7.0000000000000007E-2</v>
      </c>
      <c r="O65" s="119">
        <f t="shared" si="0"/>
        <v>6.5700000000000092E-2</v>
      </c>
      <c r="P65" s="119">
        <f t="shared" si="9"/>
        <v>0.18900000000000011</v>
      </c>
      <c r="Q65" s="119">
        <v>0.5</v>
      </c>
      <c r="R65" s="119">
        <f t="shared" si="1"/>
        <v>0.29000000000000015</v>
      </c>
    </row>
    <row r="66" spans="13:18">
      <c r="M66" s="119">
        <f t="shared" si="2"/>
        <v>0.29500000000000015</v>
      </c>
      <c r="N66" s="119">
        <v>7.0000000000000007E-2</v>
      </c>
      <c r="O66" s="119">
        <f t="shared" si="0"/>
        <v>6.9350000000000106E-2</v>
      </c>
      <c r="P66" s="119">
        <f t="shared" si="9"/>
        <v>0.19350000000000012</v>
      </c>
      <c r="Q66" s="119">
        <v>0.5</v>
      </c>
      <c r="R66" s="119">
        <f t="shared" si="1"/>
        <v>0.29500000000000015</v>
      </c>
    </row>
    <row r="67" spans="13:18">
      <c r="M67" s="119">
        <f t="shared" si="2"/>
        <v>0.30000000000000016</v>
      </c>
      <c r="N67" s="119"/>
      <c r="O67" s="119">
        <f t="shared" si="0"/>
        <v>7.3000000000000106E-2</v>
      </c>
      <c r="P67" s="119">
        <f t="shared" si="9"/>
        <v>0.19800000000000012</v>
      </c>
      <c r="Q67" s="119">
        <v>0.5</v>
      </c>
      <c r="R67" s="119">
        <f t="shared" si="1"/>
        <v>0.30000000000000016</v>
      </c>
    </row>
    <row r="68" spans="13:18">
      <c r="M68" s="119">
        <f t="shared" si="2"/>
        <v>0.30500000000000016</v>
      </c>
      <c r="N68" s="119"/>
      <c r="O68" s="119">
        <f t="shared" si="0"/>
        <v>7.6650000000000107E-2</v>
      </c>
      <c r="P68" s="119">
        <f t="shared" si="9"/>
        <v>0.20250000000000012</v>
      </c>
      <c r="Q68" s="119">
        <v>0.5</v>
      </c>
      <c r="R68" s="119">
        <f t="shared" si="1"/>
        <v>0.30500000000000016</v>
      </c>
    </row>
    <row r="69" spans="13:18">
      <c r="M69" s="119">
        <f t="shared" si="2"/>
        <v>0.31000000000000016</v>
      </c>
      <c r="N69" s="119"/>
      <c r="O69" s="119">
        <f t="shared" si="0"/>
        <v>8.0300000000000107E-2</v>
      </c>
      <c r="P69" s="119">
        <f t="shared" si="9"/>
        <v>0.20700000000000013</v>
      </c>
      <c r="Q69" s="119">
        <v>0.5</v>
      </c>
      <c r="R69" s="119">
        <f t="shared" si="1"/>
        <v>0.31000000000000016</v>
      </c>
    </row>
    <row r="70" spans="13:18">
      <c r="M70" s="119">
        <f t="shared" si="2"/>
        <v>0.31500000000000017</v>
      </c>
      <c r="N70" s="119"/>
      <c r="O70" s="119">
        <f t="shared" si="0"/>
        <v>8.3950000000000108E-2</v>
      </c>
      <c r="P70" s="119">
        <f t="shared" si="9"/>
        <v>0.21150000000000013</v>
      </c>
      <c r="Q70" s="119">
        <v>0.5</v>
      </c>
      <c r="R70" s="119">
        <f t="shared" si="1"/>
        <v>0.31500000000000017</v>
      </c>
    </row>
    <row r="71" spans="13:18">
      <c r="M71" s="119">
        <f t="shared" si="2"/>
        <v>0.32000000000000017</v>
      </c>
      <c r="N71" s="119"/>
      <c r="O71" s="119">
        <f t="shared" ref="O71:O134" si="10">IF(M71&lt;=0.255,0.04,0.73*(M71-0.2))</f>
        <v>8.7600000000000122E-2</v>
      </c>
      <c r="P71" s="119">
        <f t="shared" si="9"/>
        <v>0.21600000000000014</v>
      </c>
      <c r="Q71" s="119">
        <v>0.5</v>
      </c>
      <c r="R71" s="119">
        <f t="shared" ref="R71:R134" si="11">M71</f>
        <v>0.32000000000000017</v>
      </c>
    </row>
    <row r="72" spans="13:18">
      <c r="M72" s="119">
        <f t="shared" ref="M72:M135" si="12">M71+0.5/100</f>
        <v>0.32500000000000018</v>
      </c>
      <c r="N72" s="119"/>
      <c r="O72" s="119">
        <f t="shared" si="10"/>
        <v>9.1250000000000123E-2</v>
      </c>
      <c r="P72" s="119">
        <f t="shared" ref="P72:P103" si="13">0.9*(M72-0.08)</f>
        <v>0.22050000000000014</v>
      </c>
      <c r="Q72" s="119">
        <v>0.5</v>
      </c>
      <c r="R72" s="119">
        <f t="shared" si="11"/>
        <v>0.32500000000000018</v>
      </c>
    </row>
    <row r="73" spans="13:18">
      <c r="M73" s="119">
        <f t="shared" si="12"/>
        <v>0.33000000000000018</v>
      </c>
      <c r="N73" s="119"/>
      <c r="O73" s="119">
        <f t="shared" si="10"/>
        <v>9.4900000000000123E-2</v>
      </c>
      <c r="P73" s="119">
        <f t="shared" si="13"/>
        <v>0.22500000000000014</v>
      </c>
      <c r="Q73" s="119">
        <v>0.5</v>
      </c>
      <c r="R73" s="119">
        <f t="shared" si="11"/>
        <v>0.33000000000000018</v>
      </c>
    </row>
    <row r="74" spans="13:18">
      <c r="M74" s="119">
        <f t="shared" si="12"/>
        <v>0.33500000000000019</v>
      </c>
      <c r="N74" s="119"/>
      <c r="O74" s="119">
        <f t="shared" si="10"/>
        <v>9.8550000000000124E-2</v>
      </c>
      <c r="P74" s="119">
        <f t="shared" si="13"/>
        <v>0.22950000000000015</v>
      </c>
      <c r="Q74" s="119">
        <v>0.5</v>
      </c>
      <c r="R74" s="119">
        <f t="shared" si="11"/>
        <v>0.33500000000000019</v>
      </c>
    </row>
    <row r="75" spans="13:18">
      <c r="M75" s="119">
        <f t="shared" si="12"/>
        <v>0.34000000000000019</v>
      </c>
      <c r="N75" s="119"/>
      <c r="O75" s="119">
        <f t="shared" si="10"/>
        <v>0.10220000000000012</v>
      </c>
      <c r="P75" s="119">
        <f t="shared" si="13"/>
        <v>0.23400000000000015</v>
      </c>
      <c r="Q75" s="119">
        <v>0.5</v>
      </c>
      <c r="R75" s="119">
        <f t="shared" si="11"/>
        <v>0.34000000000000019</v>
      </c>
    </row>
    <row r="76" spans="13:18">
      <c r="M76" s="119">
        <f t="shared" si="12"/>
        <v>0.3450000000000002</v>
      </c>
      <c r="N76" s="119"/>
      <c r="O76" s="119">
        <f t="shared" si="10"/>
        <v>0.10585000000000014</v>
      </c>
      <c r="P76" s="119">
        <f t="shared" si="13"/>
        <v>0.23850000000000016</v>
      </c>
      <c r="Q76" s="119">
        <v>0.5</v>
      </c>
      <c r="R76" s="119">
        <f t="shared" si="11"/>
        <v>0.3450000000000002</v>
      </c>
    </row>
    <row r="77" spans="13:18">
      <c r="M77" s="119">
        <f t="shared" si="12"/>
        <v>0.3500000000000002</v>
      </c>
      <c r="N77" s="119"/>
      <c r="O77" s="119">
        <f t="shared" si="10"/>
        <v>0.10950000000000014</v>
      </c>
      <c r="P77" s="119">
        <f t="shared" si="13"/>
        <v>0.24300000000000016</v>
      </c>
      <c r="Q77" s="119">
        <v>0.5</v>
      </c>
      <c r="R77" s="119">
        <f t="shared" si="11"/>
        <v>0.3500000000000002</v>
      </c>
    </row>
    <row r="78" spans="13:18">
      <c r="M78" s="119">
        <f t="shared" si="12"/>
        <v>0.3550000000000002</v>
      </c>
      <c r="N78" s="119"/>
      <c r="O78" s="119">
        <f t="shared" si="10"/>
        <v>0.11315000000000014</v>
      </c>
      <c r="P78" s="119">
        <f t="shared" si="13"/>
        <v>0.24750000000000016</v>
      </c>
      <c r="Q78" s="119">
        <v>0.5</v>
      </c>
      <c r="R78" s="119">
        <f t="shared" si="11"/>
        <v>0.3550000000000002</v>
      </c>
    </row>
    <row r="79" spans="13:18">
      <c r="M79" s="119">
        <f t="shared" si="12"/>
        <v>0.36000000000000021</v>
      </c>
      <c r="N79" s="119"/>
      <c r="O79" s="119">
        <f t="shared" si="10"/>
        <v>0.11680000000000014</v>
      </c>
      <c r="P79" s="119">
        <f t="shared" si="13"/>
        <v>0.25200000000000017</v>
      </c>
      <c r="Q79" s="119">
        <v>0.5</v>
      </c>
      <c r="R79" s="119">
        <f t="shared" si="11"/>
        <v>0.36000000000000021</v>
      </c>
    </row>
    <row r="80" spans="13:18">
      <c r="M80" s="119">
        <f t="shared" si="12"/>
        <v>0.36500000000000021</v>
      </c>
      <c r="N80" s="119"/>
      <c r="O80" s="119">
        <f t="shared" si="10"/>
        <v>0.12045000000000014</v>
      </c>
      <c r="P80" s="119">
        <f t="shared" si="13"/>
        <v>0.25650000000000017</v>
      </c>
      <c r="Q80" s="119">
        <v>0.5</v>
      </c>
      <c r="R80" s="119">
        <f t="shared" si="11"/>
        <v>0.36500000000000021</v>
      </c>
    </row>
    <row r="81" spans="13:18">
      <c r="M81" s="119">
        <f t="shared" si="12"/>
        <v>0.37000000000000022</v>
      </c>
      <c r="N81" s="119"/>
      <c r="O81" s="119">
        <f t="shared" si="10"/>
        <v>0.12410000000000015</v>
      </c>
      <c r="P81" s="119">
        <f t="shared" si="13"/>
        <v>0.26100000000000018</v>
      </c>
      <c r="Q81" s="119">
        <v>0.5</v>
      </c>
      <c r="R81" s="119">
        <f t="shared" si="11"/>
        <v>0.37000000000000022</v>
      </c>
    </row>
    <row r="82" spans="13:18">
      <c r="M82" s="119">
        <f t="shared" si="12"/>
        <v>0.37500000000000022</v>
      </c>
      <c r="N82" s="119"/>
      <c r="O82" s="119">
        <f t="shared" si="10"/>
        <v>0.12775000000000014</v>
      </c>
      <c r="P82" s="119">
        <f t="shared" si="13"/>
        <v>0.26550000000000018</v>
      </c>
      <c r="Q82" s="119">
        <v>0.5</v>
      </c>
      <c r="R82" s="119">
        <f t="shared" si="11"/>
        <v>0.37500000000000022</v>
      </c>
    </row>
    <row r="83" spans="13:18">
      <c r="M83" s="119">
        <f t="shared" si="12"/>
        <v>0.38000000000000023</v>
      </c>
      <c r="N83" s="119"/>
      <c r="O83" s="119">
        <f t="shared" si="10"/>
        <v>0.13140000000000016</v>
      </c>
      <c r="P83" s="119">
        <f t="shared" si="13"/>
        <v>0.27000000000000018</v>
      </c>
      <c r="Q83" s="119">
        <v>0.5</v>
      </c>
      <c r="R83" s="119">
        <f t="shared" si="11"/>
        <v>0.38000000000000023</v>
      </c>
    </row>
    <row r="84" spans="13:18">
      <c r="M84" s="119">
        <f t="shared" si="12"/>
        <v>0.38500000000000023</v>
      </c>
      <c r="N84" s="119"/>
      <c r="O84" s="119">
        <f t="shared" si="10"/>
        <v>0.13505000000000017</v>
      </c>
      <c r="P84" s="119">
        <f t="shared" si="13"/>
        <v>0.27450000000000019</v>
      </c>
      <c r="Q84" s="119">
        <v>0.5</v>
      </c>
      <c r="R84" s="119">
        <f t="shared" si="11"/>
        <v>0.38500000000000023</v>
      </c>
    </row>
    <row r="85" spans="13:18">
      <c r="M85" s="119">
        <f t="shared" si="12"/>
        <v>0.39000000000000024</v>
      </c>
      <c r="N85" s="119"/>
      <c r="O85" s="119">
        <f t="shared" si="10"/>
        <v>0.13870000000000016</v>
      </c>
      <c r="P85" s="119">
        <f t="shared" si="13"/>
        <v>0.27900000000000019</v>
      </c>
      <c r="Q85" s="119">
        <v>0.5</v>
      </c>
      <c r="R85" s="119">
        <f t="shared" si="11"/>
        <v>0.39000000000000024</v>
      </c>
    </row>
    <row r="86" spans="13:18">
      <c r="M86" s="119">
        <f t="shared" si="12"/>
        <v>0.39500000000000024</v>
      </c>
      <c r="N86" s="119"/>
      <c r="O86" s="119">
        <f t="shared" si="10"/>
        <v>0.14235000000000017</v>
      </c>
      <c r="P86" s="119">
        <f t="shared" si="13"/>
        <v>0.2835000000000002</v>
      </c>
      <c r="Q86" s="119">
        <v>0.5</v>
      </c>
      <c r="R86" s="119">
        <f t="shared" si="11"/>
        <v>0.39500000000000024</v>
      </c>
    </row>
    <row r="87" spans="13:18">
      <c r="M87" s="119">
        <f t="shared" si="12"/>
        <v>0.40000000000000024</v>
      </c>
      <c r="N87" s="119"/>
      <c r="O87" s="119">
        <f t="shared" si="10"/>
        <v>0.14600000000000016</v>
      </c>
      <c r="P87" s="119">
        <f t="shared" si="13"/>
        <v>0.2880000000000002</v>
      </c>
      <c r="Q87" s="119">
        <v>0.5</v>
      </c>
      <c r="R87" s="119">
        <f t="shared" si="11"/>
        <v>0.40000000000000024</v>
      </c>
    </row>
    <row r="88" spans="13:18">
      <c r="M88" s="119">
        <f t="shared" si="12"/>
        <v>0.40500000000000025</v>
      </c>
      <c r="N88" s="119"/>
      <c r="O88" s="119">
        <f t="shared" si="10"/>
        <v>0.14965000000000017</v>
      </c>
      <c r="P88" s="119">
        <f t="shared" si="13"/>
        <v>0.2925000000000002</v>
      </c>
      <c r="Q88" s="119">
        <v>0.5</v>
      </c>
      <c r="R88" s="119">
        <f t="shared" si="11"/>
        <v>0.40500000000000025</v>
      </c>
    </row>
    <row r="89" spans="13:18">
      <c r="M89" s="119">
        <f t="shared" si="12"/>
        <v>0.41000000000000025</v>
      </c>
      <c r="N89" s="119"/>
      <c r="O89" s="119">
        <f t="shared" si="10"/>
        <v>0.15330000000000019</v>
      </c>
      <c r="P89" s="119">
        <f t="shared" si="13"/>
        <v>0.29700000000000021</v>
      </c>
      <c r="Q89" s="119">
        <v>0.5</v>
      </c>
      <c r="R89" s="119">
        <f t="shared" si="11"/>
        <v>0.41000000000000025</v>
      </c>
    </row>
    <row r="90" spans="13:18">
      <c r="M90" s="119">
        <f t="shared" si="12"/>
        <v>0.41500000000000026</v>
      </c>
      <c r="N90" s="119"/>
      <c r="O90" s="119">
        <f t="shared" si="10"/>
        <v>0.15695000000000017</v>
      </c>
      <c r="P90" s="119">
        <f t="shared" si="13"/>
        <v>0.30150000000000021</v>
      </c>
      <c r="Q90" s="119">
        <v>0.5</v>
      </c>
      <c r="R90" s="119">
        <f t="shared" si="11"/>
        <v>0.41500000000000026</v>
      </c>
    </row>
    <row r="91" spans="13:18">
      <c r="M91" s="119">
        <f t="shared" si="12"/>
        <v>0.42000000000000026</v>
      </c>
      <c r="N91" s="119"/>
      <c r="O91" s="119">
        <f t="shared" si="10"/>
        <v>0.16060000000000019</v>
      </c>
      <c r="P91" s="119">
        <f t="shared" si="13"/>
        <v>0.30600000000000022</v>
      </c>
      <c r="Q91" s="119">
        <v>0.5</v>
      </c>
      <c r="R91" s="119">
        <f t="shared" si="11"/>
        <v>0.42000000000000026</v>
      </c>
    </row>
    <row r="92" spans="13:18">
      <c r="M92" s="119">
        <f t="shared" si="12"/>
        <v>0.42500000000000027</v>
      </c>
      <c r="N92" s="119"/>
      <c r="O92" s="119">
        <f t="shared" si="10"/>
        <v>0.16425000000000017</v>
      </c>
      <c r="P92" s="119">
        <f t="shared" si="13"/>
        <v>0.31050000000000022</v>
      </c>
      <c r="Q92" s="119">
        <v>0.5</v>
      </c>
      <c r="R92" s="119">
        <f t="shared" si="11"/>
        <v>0.42500000000000027</v>
      </c>
    </row>
    <row r="93" spans="13:18">
      <c r="M93" s="119">
        <f t="shared" si="12"/>
        <v>0.43000000000000027</v>
      </c>
      <c r="N93" s="119"/>
      <c r="O93" s="119">
        <f t="shared" si="10"/>
        <v>0.16790000000000019</v>
      </c>
      <c r="P93" s="119">
        <f t="shared" si="13"/>
        <v>0.31500000000000022</v>
      </c>
      <c r="Q93" s="119">
        <v>0.5</v>
      </c>
      <c r="R93" s="119">
        <f t="shared" si="11"/>
        <v>0.43000000000000027</v>
      </c>
    </row>
    <row r="94" spans="13:18">
      <c r="M94" s="119">
        <f t="shared" si="12"/>
        <v>0.43500000000000028</v>
      </c>
      <c r="N94" s="119"/>
      <c r="O94" s="119">
        <f t="shared" si="10"/>
        <v>0.1715500000000002</v>
      </c>
      <c r="P94" s="119">
        <f t="shared" si="13"/>
        <v>0.31950000000000023</v>
      </c>
      <c r="Q94" s="119">
        <v>0.5</v>
      </c>
      <c r="R94" s="119">
        <f t="shared" si="11"/>
        <v>0.43500000000000028</v>
      </c>
    </row>
    <row r="95" spans="13:18">
      <c r="M95" s="119">
        <f t="shared" si="12"/>
        <v>0.44000000000000028</v>
      </c>
      <c r="N95" s="119"/>
      <c r="O95" s="119">
        <f t="shared" si="10"/>
        <v>0.17520000000000019</v>
      </c>
      <c r="P95" s="119">
        <f t="shared" si="13"/>
        <v>0.32400000000000023</v>
      </c>
      <c r="Q95" s="119">
        <v>0.5</v>
      </c>
      <c r="R95" s="119">
        <f t="shared" si="11"/>
        <v>0.44000000000000028</v>
      </c>
    </row>
    <row r="96" spans="13:18">
      <c r="M96" s="119">
        <f t="shared" si="12"/>
        <v>0.44500000000000028</v>
      </c>
      <c r="N96" s="119"/>
      <c r="O96" s="119">
        <f t="shared" si="10"/>
        <v>0.1788500000000002</v>
      </c>
      <c r="P96" s="119">
        <f t="shared" si="13"/>
        <v>0.32850000000000024</v>
      </c>
      <c r="Q96" s="119">
        <v>0.5</v>
      </c>
      <c r="R96" s="119">
        <f t="shared" si="11"/>
        <v>0.44500000000000028</v>
      </c>
    </row>
    <row r="97" spans="13:18">
      <c r="M97" s="119">
        <f t="shared" si="12"/>
        <v>0.45000000000000029</v>
      </c>
      <c r="N97" s="119"/>
      <c r="O97" s="119">
        <f t="shared" si="10"/>
        <v>0.18250000000000019</v>
      </c>
      <c r="P97" s="119">
        <f t="shared" si="13"/>
        <v>0.33300000000000024</v>
      </c>
      <c r="Q97" s="119">
        <v>0.5</v>
      </c>
      <c r="R97" s="119">
        <f t="shared" si="11"/>
        <v>0.45000000000000029</v>
      </c>
    </row>
    <row r="98" spans="13:18">
      <c r="M98" s="119">
        <f t="shared" si="12"/>
        <v>0.45500000000000029</v>
      </c>
      <c r="N98" s="119"/>
      <c r="O98" s="119">
        <f t="shared" si="10"/>
        <v>0.1861500000000002</v>
      </c>
      <c r="P98" s="119">
        <f t="shared" si="13"/>
        <v>0.33750000000000024</v>
      </c>
      <c r="Q98" s="119">
        <v>0.5</v>
      </c>
      <c r="R98" s="119">
        <f t="shared" si="11"/>
        <v>0.45500000000000029</v>
      </c>
    </row>
    <row r="99" spans="13:18">
      <c r="M99" s="119">
        <f t="shared" si="12"/>
        <v>0.4600000000000003</v>
      </c>
      <c r="N99" s="119"/>
      <c r="O99" s="119">
        <f t="shared" si="10"/>
        <v>0.18980000000000019</v>
      </c>
      <c r="P99" s="119">
        <f t="shared" si="13"/>
        <v>0.34200000000000025</v>
      </c>
      <c r="Q99" s="119">
        <v>0.5</v>
      </c>
      <c r="R99" s="119">
        <f t="shared" si="11"/>
        <v>0.4600000000000003</v>
      </c>
    </row>
    <row r="100" spans="13:18">
      <c r="M100" s="119">
        <f t="shared" si="12"/>
        <v>0.4650000000000003</v>
      </c>
      <c r="N100" s="119"/>
      <c r="O100" s="119">
        <f t="shared" si="10"/>
        <v>0.19345000000000021</v>
      </c>
      <c r="P100" s="119">
        <f t="shared" si="13"/>
        <v>0.34650000000000025</v>
      </c>
      <c r="Q100" s="119">
        <v>0.5</v>
      </c>
      <c r="R100" s="119">
        <f t="shared" si="11"/>
        <v>0.4650000000000003</v>
      </c>
    </row>
    <row r="101" spans="13:18">
      <c r="M101" s="119">
        <f t="shared" si="12"/>
        <v>0.47000000000000031</v>
      </c>
      <c r="N101" s="119"/>
      <c r="O101" s="119">
        <f t="shared" si="10"/>
        <v>0.19710000000000022</v>
      </c>
      <c r="P101" s="119">
        <f t="shared" si="13"/>
        <v>0.35100000000000026</v>
      </c>
      <c r="Q101" s="119">
        <v>0.5</v>
      </c>
      <c r="R101" s="119">
        <f t="shared" si="11"/>
        <v>0.47000000000000031</v>
      </c>
    </row>
    <row r="102" spans="13:18">
      <c r="M102" s="119">
        <f t="shared" si="12"/>
        <v>0.47500000000000031</v>
      </c>
      <c r="N102" s="119"/>
      <c r="O102" s="119">
        <f t="shared" si="10"/>
        <v>0.20075000000000021</v>
      </c>
      <c r="P102" s="119">
        <f t="shared" si="13"/>
        <v>0.35550000000000026</v>
      </c>
      <c r="Q102" s="119">
        <v>0.5</v>
      </c>
      <c r="R102" s="119">
        <f t="shared" si="11"/>
        <v>0.47500000000000031</v>
      </c>
    </row>
    <row r="103" spans="13:18">
      <c r="M103" s="119">
        <f t="shared" si="12"/>
        <v>0.48000000000000032</v>
      </c>
      <c r="N103" s="119"/>
      <c r="O103" s="119">
        <f t="shared" si="10"/>
        <v>0.20440000000000022</v>
      </c>
      <c r="P103" s="119">
        <f t="shared" si="13"/>
        <v>0.36000000000000026</v>
      </c>
      <c r="Q103" s="119">
        <v>0.5</v>
      </c>
      <c r="R103" s="119">
        <f t="shared" si="11"/>
        <v>0.48000000000000032</v>
      </c>
    </row>
    <row r="104" spans="13:18">
      <c r="M104" s="119">
        <f t="shared" si="12"/>
        <v>0.48500000000000032</v>
      </c>
      <c r="N104" s="119"/>
      <c r="O104" s="119">
        <f t="shared" si="10"/>
        <v>0.20805000000000021</v>
      </c>
      <c r="P104" s="119">
        <f t="shared" ref="P104:P135" si="14">0.9*(M104-0.08)</f>
        <v>0.36450000000000027</v>
      </c>
      <c r="Q104" s="119">
        <v>0.5</v>
      </c>
      <c r="R104" s="119">
        <f t="shared" si="11"/>
        <v>0.48500000000000032</v>
      </c>
    </row>
    <row r="105" spans="13:18">
      <c r="M105" s="119">
        <f t="shared" si="12"/>
        <v>0.49000000000000032</v>
      </c>
      <c r="N105" s="119"/>
      <c r="O105" s="119">
        <f t="shared" si="10"/>
        <v>0.21170000000000022</v>
      </c>
      <c r="P105" s="119">
        <f t="shared" si="14"/>
        <v>0.36900000000000027</v>
      </c>
      <c r="Q105" s="119">
        <v>0.5</v>
      </c>
      <c r="R105" s="119">
        <f t="shared" si="11"/>
        <v>0.49000000000000032</v>
      </c>
    </row>
    <row r="106" spans="13:18">
      <c r="M106" s="119">
        <f t="shared" si="12"/>
        <v>0.49500000000000033</v>
      </c>
      <c r="N106" s="119"/>
      <c r="O106" s="119">
        <f t="shared" si="10"/>
        <v>0.21535000000000024</v>
      </c>
      <c r="P106" s="119">
        <f t="shared" si="14"/>
        <v>0.37350000000000028</v>
      </c>
      <c r="Q106" s="119">
        <v>0.5</v>
      </c>
      <c r="R106" s="119">
        <f t="shared" si="11"/>
        <v>0.49500000000000033</v>
      </c>
    </row>
    <row r="107" spans="13:18">
      <c r="M107" s="119">
        <f t="shared" si="12"/>
        <v>0.50000000000000033</v>
      </c>
      <c r="N107" s="119"/>
      <c r="O107" s="119">
        <f t="shared" si="10"/>
        <v>0.21900000000000022</v>
      </c>
      <c r="P107" s="119">
        <f t="shared" si="14"/>
        <v>0.37800000000000028</v>
      </c>
      <c r="Q107" s="119">
        <v>0.5</v>
      </c>
      <c r="R107" s="119">
        <f t="shared" si="11"/>
        <v>0.50000000000000033</v>
      </c>
    </row>
    <row r="108" spans="13:18">
      <c r="M108" s="119">
        <f t="shared" si="12"/>
        <v>0.50500000000000034</v>
      </c>
      <c r="N108" s="119"/>
      <c r="O108" s="119">
        <f t="shared" si="10"/>
        <v>0.22265000000000024</v>
      </c>
      <c r="P108" s="119">
        <f t="shared" si="14"/>
        <v>0.38250000000000028</v>
      </c>
      <c r="Q108" s="119"/>
      <c r="R108" s="119">
        <f t="shared" si="11"/>
        <v>0.50500000000000034</v>
      </c>
    </row>
    <row r="109" spans="13:18">
      <c r="M109" s="119">
        <f t="shared" si="12"/>
        <v>0.51000000000000034</v>
      </c>
      <c r="N109" s="119"/>
      <c r="O109" s="119">
        <f t="shared" si="10"/>
        <v>0.22630000000000022</v>
      </c>
      <c r="P109" s="119">
        <f t="shared" si="14"/>
        <v>0.38700000000000029</v>
      </c>
      <c r="Q109" s="119"/>
      <c r="R109" s="119">
        <f t="shared" si="11"/>
        <v>0.51000000000000034</v>
      </c>
    </row>
    <row r="110" spans="13:18">
      <c r="M110" s="119">
        <f t="shared" si="12"/>
        <v>0.51500000000000035</v>
      </c>
      <c r="N110" s="119"/>
      <c r="O110" s="119">
        <f t="shared" si="10"/>
        <v>0.22995000000000024</v>
      </c>
      <c r="P110" s="119">
        <f t="shared" si="14"/>
        <v>0.39150000000000029</v>
      </c>
      <c r="Q110" s="119"/>
      <c r="R110" s="119">
        <f t="shared" si="11"/>
        <v>0.51500000000000035</v>
      </c>
    </row>
    <row r="111" spans="13:18">
      <c r="M111" s="119">
        <f t="shared" si="12"/>
        <v>0.52000000000000035</v>
      </c>
      <c r="N111" s="119"/>
      <c r="O111" s="119">
        <f t="shared" si="10"/>
        <v>0.23360000000000025</v>
      </c>
      <c r="P111" s="119">
        <f t="shared" si="14"/>
        <v>0.3960000000000003</v>
      </c>
      <c r="Q111" s="119"/>
      <c r="R111" s="119">
        <f t="shared" si="11"/>
        <v>0.52000000000000035</v>
      </c>
    </row>
    <row r="112" spans="13:18">
      <c r="M112" s="119">
        <f t="shared" si="12"/>
        <v>0.52500000000000036</v>
      </c>
      <c r="N112" s="119"/>
      <c r="O112" s="119">
        <f t="shared" si="10"/>
        <v>0.23725000000000024</v>
      </c>
      <c r="P112" s="119">
        <f t="shared" si="14"/>
        <v>0.4005000000000003</v>
      </c>
      <c r="Q112" s="119"/>
      <c r="R112" s="119">
        <f t="shared" si="11"/>
        <v>0.52500000000000036</v>
      </c>
    </row>
    <row r="113" spans="13:18">
      <c r="M113" s="119">
        <f t="shared" si="12"/>
        <v>0.53000000000000036</v>
      </c>
      <c r="N113" s="119"/>
      <c r="O113" s="119">
        <f t="shared" si="10"/>
        <v>0.24090000000000025</v>
      </c>
      <c r="P113" s="119">
        <f t="shared" si="14"/>
        <v>0.4050000000000003</v>
      </c>
      <c r="Q113" s="119"/>
      <c r="R113" s="119">
        <f t="shared" si="11"/>
        <v>0.53000000000000036</v>
      </c>
    </row>
    <row r="114" spans="13:18">
      <c r="M114" s="119">
        <f t="shared" si="12"/>
        <v>0.53500000000000036</v>
      </c>
      <c r="N114" s="119"/>
      <c r="O114" s="119">
        <f t="shared" si="10"/>
        <v>0.24455000000000024</v>
      </c>
      <c r="P114" s="119">
        <f t="shared" si="14"/>
        <v>0.40950000000000031</v>
      </c>
      <c r="Q114" s="119"/>
      <c r="R114" s="119">
        <f t="shared" si="11"/>
        <v>0.53500000000000036</v>
      </c>
    </row>
    <row r="115" spans="13:18">
      <c r="M115" s="119">
        <f t="shared" si="12"/>
        <v>0.54000000000000037</v>
      </c>
      <c r="N115" s="119"/>
      <c r="O115" s="119">
        <f t="shared" si="10"/>
        <v>0.24820000000000025</v>
      </c>
      <c r="P115" s="119">
        <f t="shared" si="14"/>
        <v>0.41400000000000031</v>
      </c>
      <c r="Q115" s="119"/>
      <c r="R115" s="119">
        <f t="shared" si="11"/>
        <v>0.54000000000000037</v>
      </c>
    </row>
    <row r="116" spans="13:18">
      <c r="M116" s="119">
        <f t="shared" si="12"/>
        <v>0.54500000000000037</v>
      </c>
      <c r="N116" s="119"/>
      <c r="O116" s="119">
        <f t="shared" si="10"/>
        <v>0.25185000000000024</v>
      </c>
      <c r="P116" s="119">
        <f t="shared" si="14"/>
        <v>0.41850000000000032</v>
      </c>
      <c r="Q116" s="119"/>
      <c r="R116" s="119">
        <f t="shared" si="11"/>
        <v>0.54500000000000037</v>
      </c>
    </row>
    <row r="117" spans="13:18">
      <c r="M117" s="119">
        <f t="shared" si="12"/>
        <v>0.55000000000000038</v>
      </c>
      <c r="N117" s="119"/>
      <c r="O117" s="119">
        <f t="shared" si="10"/>
        <v>0.25550000000000028</v>
      </c>
      <c r="P117" s="119">
        <f t="shared" si="14"/>
        <v>0.42300000000000032</v>
      </c>
      <c r="Q117" s="119"/>
      <c r="R117" s="119">
        <f t="shared" si="11"/>
        <v>0.55000000000000038</v>
      </c>
    </row>
    <row r="118" spans="13:18">
      <c r="M118" s="119">
        <f t="shared" si="12"/>
        <v>0.55500000000000038</v>
      </c>
      <c r="N118" s="119"/>
      <c r="O118" s="119">
        <f t="shared" si="10"/>
        <v>0.25915000000000027</v>
      </c>
      <c r="P118" s="119">
        <f t="shared" si="14"/>
        <v>0.42750000000000032</v>
      </c>
      <c r="Q118" s="119"/>
      <c r="R118" s="119">
        <f t="shared" si="11"/>
        <v>0.55500000000000038</v>
      </c>
    </row>
    <row r="119" spans="13:18">
      <c r="M119" s="119">
        <f t="shared" si="12"/>
        <v>0.56000000000000039</v>
      </c>
      <c r="N119" s="119"/>
      <c r="O119" s="119">
        <f t="shared" si="10"/>
        <v>0.26280000000000026</v>
      </c>
      <c r="P119" s="119">
        <f t="shared" si="14"/>
        <v>0.43200000000000033</v>
      </c>
      <c r="Q119" s="119"/>
      <c r="R119" s="119">
        <f t="shared" si="11"/>
        <v>0.56000000000000039</v>
      </c>
    </row>
    <row r="120" spans="13:18">
      <c r="M120" s="119">
        <f t="shared" si="12"/>
        <v>0.56500000000000039</v>
      </c>
      <c r="N120" s="119"/>
      <c r="O120" s="119">
        <f t="shared" si="10"/>
        <v>0.2664500000000003</v>
      </c>
      <c r="P120" s="119">
        <f t="shared" si="14"/>
        <v>0.43650000000000033</v>
      </c>
      <c r="Q120" s="119"/>
      <c r="R120" s="119">
        <f t="shared" si="11"/>
        <v>0.56500000000000039</v>
      </c>
    </row>
    <row r="121" spans="13:18">
      <c r="M121" s="119">
        <f t="shared" si="12"/>
        <v>0.5700000000000004</v>
      </c>
      <c r="N121" s="119"/>
      <c r="O121" s="119">
        <f t="shared" si="10"/>
        <v>0.27010000000000028</v>
      </c>
      <c r="P121" s="119">
        <f t="shared" si="14"/>
        <v>0.44100000000000034</v>
      </c>
      <c r="Q121" s="119"/>
      <c r="R121" s="119">
        <f t="shared" si="11"/>
        <v>0.5700000000000004</v>
      </c>
    </row>
    <row r="122" spans="13:18">
      <c r="M122" s="119">
        <f t="shared" si="12"/>
        <v>0.5750000000000004</v>
      </c>
      <c r="N122" s="119"/>
      <c r="O122" s="119">
        <f t="shared" si="10"/>
        <v>0.27375000000000027</v>
      </c>
      <c r="P122" s="119">
        <f t="shared" si="14"/>
        <v>0.44550000000000034</v>
      </c>
      <c r="Q122" s="119"/>
      <c r="R122" s="119">
        <f t="shared" si="11"/>
        <v>0.5750000000000004</v>
      </c>
    </row>
    <row r="123" spans="13:18">
      <c r="M123" s="119">
        <f t="shared" si="12"/>
        <v>0.5800000000000004</v>
      </c>
      <c r="N123" s="119"/>
      <c r="O123" s="119">
        <f t="shared" si="10"/>
        <v>0.27740000000000026</v>
      </c>
      <c r="P123" s="119">
        <f t="shared" si="14"/>
        <v>0.4500000000000004</v>
      </c>
      <c r="Q123" s="119"/>
      <c r="R123" s="119">
        <f t="shared" si="11"/>
        <v>0.5800000000000004</v>
      </c>
    </row>
    <row r="124" spans="13:18">
      <c r="M124" s="119">
        <f t="shared" si="12"/>
        <v>0.58500000000000041</v>
      </c>
      <c r="N124" s="119"/>
      <c r="O124" s="119">
        <f t="shared" si="10"/>
        <v>0.2810500000000003</v>
      </c>
      <c r="P124" s="119">
        <f t="shared" si="14"/>
        <v>0.4545000000000004</v>
      </c>
      <c r="Q124" s="119"/>
      <c r="R124" s="119">
        <f t="shared" si="11"/>
        <v>0.58500000000000041</v>
      </c>
    </row>
    <row r="125" spans="13:18">
      <c r="M125" s="119">
        <f t="shared" si="12"/>
        <v>0.59000000000000041</v>
      </c>
      <c r="N125" s="119"/>
      <c r="O125" s="119">
        <f t="shared" si="10"/>
        <v>0.28470000000000029</v>
      </c>
      <c r="P125" s="119">
        <f t="shared" si="14"/>
        <v>0.45900000000000041</v>
      </c>
      <c r="Q125" s="119"/>
      <c r="R125" s="119">
        <f t="shared" si="11"/>
        <v>0.59000000000000041</v>
      </c>
    </row>
    <row r="126" spans="13:18">
      <c r="M126" s="119">
        <f t="shared" si="12"/>
        <v>0.59500000000000042</v>
      </c>
      <c r="N126" s="119"/>
      <c r="O126" s="119">
        <f t="shared" si="10"/>
        <v>0.28835000000000027</v>
      </c>
      <c r="P126" s="119">
        <f t="shared" si="14"/>
        <v>0.46350000000000041</v>
      </c>
      <c r="Q126" s="119"/>
      <c r="R126" s="119">
        <f t="shared" si="11"/>
        <v>0.59500000000000042</v>
      </c>
    </row>
    <row r="127" spans="13:18">
      <c r="M127" s="119">
        <f t="shared" si="12"/>
        <v>0.60000000000000042</v>
      </c>
      <c r="N127" s="119"/>
      <c r="O127" s="119">
        <f t="shared" si="10"/>
        <v>0.29200000000000031</v>
      </c>
      <c r="P127" s="119">
        <f t="shared" si="14"/>
        <v>0.46800000000000042</v>
      </c>
      <c r="Q127" s="119"/>
      <c r="R127" s="119">
        <f t="shared" si="11"/>
        <v>0.60000000000000042</v>
      </c>
    </row>
    <row r="128" spans="13:18">
      <c r="M128" s="119">
        <f t="shared" si="12"/>
        <v>0.60500000000000043</v>
      </c>
      <c r="N128" s="119"/>
      <c r="O128" s="119">
        <f t="shared" si="10"/>
        <v>0.2956500000000003</v>
      </c>
      <c r="P128" s="119">
        <f t="shared" si="14"/>
        <v>0.47250000000000042</v>
      </c>
      <c r="Q128" s="119"/>
      <c r="R128" s="119">
        <f t="shared" si="11"/>
        <v>0.60500000000000043</v>
      </c>
    </row>
    <row r="129" spans="13:18">
      <c r="M129" s="119">
        <f t="shared" si="12"/>
        <v>0.61000000000000043</v>
      </c>
      <c r="N129" s="119"/>
      <c r="O129" s="119">
        <f t="shared" si="10"/>
        <v>0.29930000000000029</v>
      </c>
      <c r="P129" s="119">
        <f t="shared" si="14"/>
        <v>0.47700000000000042</v>
      </c>
      <c r="Q129" s="119"/>
      <c r="R129" s="119">
        <f t="shared" si="11"/>
        <v>0.61000000000000043</v>
      </c>
    </row>
    <row r="130" spans="13:18">
      <c r="M130" s="119">
        <f t="shared" si="12"/>
        <v>0.61500000000000044</v>
      </c>
      <c r="N130" s="119"/>
      <c r="O130" s="119">
        <f t="shared" si="10"/>
        <v>0.30295000000000027</v>
      </c>
      <c r="P130" s="119">
        <f t="shared" si="14"/>
        <v>0.48150000000000043</v>
      </c>
      <c r="Q130" s="119"/>
      <c r="R130" s="119">
        <f t="shared" si="11"/>
        <v>0.61500000000000044</v>
      </c>
    </row>
    <row r="131" spans="13:18">
      <c r="M131" s="119">
        <f t="shared" si="12"/>
        <v>0.62000000000000044</v>
      </c>
      <c r="N131" s="119"/>
      <c r="O131" s="119">
        <f t="shared" si="10"/>
        <v>0.30660000000000032</v>
      </c>
      <c r="P131" s="119">
        <f t="shared" si="14"/>
        <v>0.48600000000000043</v>
      </c>
      <c r="Q131" s="119"/>
      <c r="R131" s="119">
        <f t="shared" si="11"/>
        <v>0.62000000000000044</v>
      </c>
    </row>
    <row r="132" spans="13:18">
      <c r="M132" s="119">
        <f t="shared" si="12"/>
        <v>0.62500000000000044</v>
      </c>
      <c r="N132" s="119"/>
      <c r="O132" s="119">
        <f t="shared" si="10"/>
        <v>0.3102500000000003</v>
      </c>
      <c r="P132" s="119">
        <f t="shared" si="14"/>
        <v>0.49050000000000044</v>
      </c>
      <c r="Q132" s="119"/>
      <c r="R132" s="119">
        <f t="shared" si="11"/>
        <v>0.62500000000000044</v>
      </c>
    </row>
    <row r="133" spans="13:18">
      <c r="M133" s="119">
        <f t="shared" si="12"/>
        <v>0.63000000000000045</v>
      </c>
      <c r="N133" s="119"/>
      <c r="O133" s="119">
        <f t="shared" si="10"/>
        <v>0.31390000000000029</v>
      </c>
      <c r="P133" s="119">
        <f t="shared" si="14"/>
        <v>0.49500000000000044</v>
      </c>
      <c r="Q133" s="119"/>
      <c r="R133" s="119">
        <f t="shared" si="11"/>
        <v>0.63000000000000045</v>
      </c>
    </row>
    <row r="134" spans="13:18">
      <c r="M134" s="119">
        <f t="shared" si="12"/>
        <v>0.63500000000000045</v>
      </c>
      <c r="N134" s="119"/>
      <c r="O134" s="119">
        <f t="shared" si="10"/>
        <v>0.31755000000000033</v>
      </c>
      <c r="P134" s="119">
        <f t="shared" si="14"/>
        <v>0.49950000000000044</v>
      </c>
      <c r="Q134" s="119"/>
      <c r="R134" s="119">
        <f t="shared" si="11"/>
        <v>0.63500000000000045</v>
      </c>
    </row>
    <row r="135" spans="13:18">
      <c r="M135" s="119">
        <f t="shared" si="12"/>
        <v>0.64000000000000046</v>
      </c>
      <c r="N135" s="119"/>
      <c r="O135" s="119">
        <f t="shared" ref="O135:O198" si="15">IF(M135&lt;=0.255,0.04,0.73*(M135-0.2))</f>
        <v>0.32120000000000032</v>
      </c>
      <c r="P135" s="119">
        <f t="shared" si="14"/>
        <v>0.50400000000000045</v>
      </c>
      <c r="Q135" s="119"/>
      <c r="R135" s="119">
        <f t="shared" ref="R135:R198" si="16">M135</f>
        <v>0.64000000000000046</v>
      </c>
    </row>
    <row r="136" spans="13:18">
      <c r="M136" s="119">
        <f t="shared" ref="M136:M199" si="17">M135+0.5/100</f>
        <v>0.64500000000000046</v>
      </c>
      <c r="N136" s="119"/>
      <c r="O136" s="119">
        <f t="shared" si="15"/>
        <v>0.32485000000000031</v>
      </c>
      <c r="P136" s="119">
        <f t="shared" ref="P136:P167" si="18">0.9*(M136-0.08)</f>
        <v>0.50850000000000051</v>
      </c>
      <c r="Q136" s="119"/>
      <c r="R136" s="119">
        <f t="shared" si="16"/>
        <v>0.64500000000000046</v>
      </c>
    </row>
    <row r="137" spans="13:18">
      <c r="M137" s="119">
        <f t="shared" si="17"/>
        <v>0.65000000000000047</v>
      </c>
      <c r="N137" s="119"/>
      <c r="O137" s="119">
        <f t="shared" si="15"/>
        <v>0.32850000000000035</v>
      </c>
      <c r="P137" s="119">
        <f t="shared" si="18"/>
        <v>0.51300000000000046</v>
      </c>
      <c r="Q137" s="119"/>
      <c r="R137" s="119">
        <f t="shared" si="16"/>
        <v>0.65000000000000047</v>
      </c>
    </row>
    <row r="138" spans="13:18">
      <c r="M138" s="119">
        <f t="shared" si="17"/>
        <v>0.65500000000000047</v>
      </c>
      <c r="N138" s="119"/>
      <c r="O138" s="119">
        <f t="shared" si="15"/>
        <v>0.33215000000000033</v>
      </c>
      <c r="P138" s="119">
        <f t="shared" si="18"/>
        <v>0.51750000000000052</v>
      </c>
      <c r="Q138" s="119"/>
      <c r="R138" s="119">
        <f t="shared" si="16"/>
        <v>0.65500000000000047</v>
      </c>
    </row>
    <row r="139" spans="13:18">
      <c r="M139" s="119">
        <f t="shared" si="17"/>
        <v>0.66000000000000048</v>
      </c>
      <c r="N139" s="119"/>
      <c r="O139" s="119">
        <f t="shared" si="15"/>
        <v>0.33580000000000032</v>
      </c>
      <c r="P139" s="119">
        <f t="shared" si="18"/>
        <v>0.52200000000000046</v>
      </c>
      <c r="Q139" s="119"/>
      <c r="R139" s="119">
        <f t="shared" si="16"/>
        <v>0.66000000000000048</v>
      </c>
    </row>
    <row r="140" spans="13:18">
      <c r="M140" s="119">
        <f t="shared" si="17"/>
        <v>0.66500000000000048</v>
      </c>
      <c r="N140" s="119"/>
      <c r="O140" s="119">
        <f t="shared" si="15"/>
        <v>0.33945000000000031</v>
      </c>
      <c r="P140" s="119">
        <f t="shared" si="18"/>
        <v>0.52650000000000052</v>
      </c>
      <c r="Q140" s="119"/>
      <c r="R140" s="119">
        <f t="shared" si="16"/>
        <v>0.66500000000000048</v>
      </c>
    </row>
    <row r="141" spans="13:18">
      <c r="M141" s="119">
        <f t="shared" si="17"/>
        <v>0.67000000000000048</v>
      </c>
      <c r="N141" s="119"/>
      <c r="O141" s="119">
        <f t="shared" si="15"/>
        <v>0.34310000000000035</v>
      </c>
      <c r="P141" s="119">
        <f t="shared" si="18"/>
        <v>0.53100000000000047</v>
      </c>
      <c r="Q141" s="119"/>
      <c r="R141" s="119">
        <f t="shared" si="16"/>
        <v>0.67000000000000048</v>
      </c>
    </row>
    <row r="142" spans="13:18">
      <c r="M142" s="119">
        <f t="shared" si="17"/>
        <v>0.67500000000000049</v>
      </c>
      <c r="N142" s="119"/>
      <c r="O142" s="119">
        <f t="shared" si="15"/>
        <v>0.34675000000000034</v>
      </c>
      <c r="P142" s="119">
        <f t="shared" si="18"/>
        <v>0.53550000000000053</v>
      </c>
      <c r="Q142" s="119"/>
      <c r="R142" s="119">
        <f t="shared" si="16"/>
        <v>0.67500000000000049</v>
      </c>
    </row>
    <row r="143" spans="13:18">
      <c r="M143" s="119">
        <f t="shared" si="17"/>
        <v>0.68000000000000049</v>
      </c>
      <c r="N143" s="119"/>
      <c r="O143" s="119">
        <f t="shared" si="15"/>
        <v>0.35040000000000032</v>
      </c>
      <c r="P143" s="119">
        <f t="shared" si="18"/>
        <v>0.54000000000000048</v>
      </c>
      <c r="Q143" s="119"/>
      <c r="R143" s="119">
        <f t="shared" si="16"/>
        <v>0.68000000000000049</v>
      </c>
    </row>
    <row r="144" spans="13:18">
      <c r="M144" s="119">
        <f t="shared" si="17"/>
        <v>0.6850000000000005</v>
      </c>
      <c r="N144" s="119"/>
      <c r="O144" s="119">
        <f t="shared" si="15"/>
        <v>0.35405000000000036</v>
      </c>
      <c r="P144" s="119">
        <f t="shared" si="18"/>
        <v>0.54450000000000054</v>
      </c>
      <c r="Q144" s="119"/>
      <c r="R144" s="119">
        <f t="shared" si="16"/>
        <v>0.6850000000000005</v>
      </c>
    </row>
    <row r="145" spans="13:18">
      <c r="M145" s="119">
        <f t="shared" si="17"/>
        <v>0.6900000000000005</v>
      </c>
      <c r="N145" s="119"/>
      <c r="O145" s="119">
        <f t="shared" si="15"/>
        <v>0.35770000000000035</v>
      </c>
      <c r="P145" s="119">
        <f t="shared" si="18"/>
        <v>0.54900000000000049</v>
      </c>
      <c r="Q145" s="119"/>
      <c r="R145" s="119">
        <f t="shared" si="16"/>
        <v>0.6900000000000005</v>
      </c>
    </row>
    <row r="146" spans="13:18">
      <c r="M146" s="119">
        <f t="shared" si="17"/>
        <v>0.69500000000000051</v>
      </c>
      <c r="N146" s="119"/>
      <c r="O146" s="119">
        <f t="shared" si="15"/>
        <v>0.36135000000000034</v>
      </c>
      <c r="P146" s="119">
        <f t="shared" si="18"/>
        <v>0.55350000000000055</v>
      </c>
      <c r="Q146" s="119"/>
      <c r="R146" s="119">
        <f t="shared" si="16"/>
        <v>0.69500000000000051</v>
      </c>
    </row>
    <row r="147" spans="13:18">
      <c r="M147" s="119">
        <f t="shared" si="17"/>
        <v>0.70000000000000051</v>
      </c>
      <c r="N147" s="119"/>
      <c r="O147" s="119">
        <f t="shared" si="15"/>
        <v>0.36500000000000032</v>
      </c>
      <c r="P147" s="119">
        <f t="shared" si="18"/>
        <v>0.5580000000000005</v>
      </c>
      <c r="Q147" s="119"/>
      <c r="R147" s="119">
        <f t="shared" si="16"/>
        <v>0.70000000000000051</v>
      </c>
    </row>
    <row r="148" spans="13:18">
      <c r="M148" s="119">
        <f t="shared" si="17"/>
        <v>0.70500000000000052</v>
      </c>
      <c r="N148" s="119"/>
      <c r="O148" s="119">
        <f t="shared" si="15"/>
        <v>0.36865000000000042</v>
      </c>
      <c r="P148" s="119">
        <f t="shared" si="18"/>
        <v>0.56250000000000056</v>
      </c>
      <c r="Q148" s="119"/>
      <c r="R148" s="119">
        <f t="shared" si="16"/>
        <v>0.70500000000000052</v>
      </c>
    </row>
    <row r="149" spans="13:18">
      <c r="M149" s="119">
        <f t="shared" si="17"/>
        <v>0.71000000000000052</v>
      </c>
      <c r="N149" s="119"/>
      <c r="O149" s="119">
        <f t="shared" si="15"/>
        <v>0.3723000000000003</v>
      </c>
      <c r="P149" s="119">
        <f t="shared" si="18"/>
        <v>0.5670000000000005</v>
      </c>
      <c r="Q149" s="119"/>
      <c r="R149" s="119">
        <f t="shared" si="16"/>
        <v>0.71000000000000052</v>
      </c>
    </row>
    <row r="150" spans="13:18">
      <c r="M150" s="119">
        <f t="shared" si="17"/>
        <v>0.71500000000000052</v>
      </c>
      <c r="N150" s="119"/>
      <c r="O150" s="119">
        <f t="shared" si="15"/>
        <v>0.37595000000000039</v>
      </c>
      <c r="P150" s="119">
        <f t="shared" si="18"/>
        <v>0.57150000000000056</v>
      </c>
      <c r="Q150" s="119"/>
      <c r="R150" s="119">
        <f t="shared" si="16"/>
        <v>0.71500000000000052</v>
      </c>
    </row>
    <row r="151" spans="13:18">
      <c r="M151" s="119">
        <f t="shared" si="17"/>
        <v>0.72000000000000053</v>
      </c>
      <c r="N151" s="119"/>
      <c r="O151" s="119">
        <f t="shared" si="15"/>
        <v>0.37960000000000033</v>
      </c>
      <c r="P151" s="119">
        <f t="shared" si="18"/>
        <v>0.57600000000000051</v>
      </c>
      <c r="Q151" s="119"/>
      <c r="R151" s="119">
        <f t="shared" si="16"/>
        <v>0.72000000000000053</v>
      </c>
    </row>
    <row r="152" spans="13:18">
      <c r="M152" s="119">
        <f t="shared" si="17"/>
        <v>0.72500000000000053</v>
      </c>
      <c r="N152" s="119"/>
      <c r="O152" s="119">
        <f t="shared" si="15"/>
        <v>0.38325000000000042</v>
      </c>
      <c r="P152" s="119">
        <f t="shared" si="18"/>
        <v>0.58050000000000057</v>
      </c>
      <c r="Q152" s="119"/>
      <c r="R152" s="119">
        <f t="shared" si="16"/>
        <v>0.72500000000000053</v>
      </c>
    </row>
    <row r="153" spans="13:18">
      <c r="M153" s="119">
        <f t="shared" si="17"/>
        <v>0.73000000000000054</v>
      </c>
      <c r="N153" s="119"/>
      <c r="O153" s="119">
        <f t="shared" si="15"/>
        <v>0.38690000000000035</v>
      </c>
      <c r="P153" s="119">
        <f t="shared" si="18"/>
        <v>0.58500000000000052</v>
      </c>
      <c r="Q153" s="119"/>
      <c r="R153" s="119">
        <f t="shared" si="16"/>
        <v>0.73000000000000054</v>
      </c>
    </row>
    <row r="154" spans="13:18">
      <c r="M154" s="119">
        <f t="shared" si="17"/>
        <v>0.73500000000000054</v>
      </c>
      <c r="N154" s="119"/>
      <c r="O154" s="119">
        <f t="shared" si="15"/>
        <v>0.3905500000000004</v>
      </c>
      <c r="P154" s="119">
        <f t="shared" si="18"/>
        <v>0.58950000000000058</v>
      </c>
      <c r="Q154" s="119"/>
      <c r="R154" s="119">
        <f t="shared" si="16"/>
        <v>0.73500000000000054</v>
      </c>
    </row>
    <row r="155" spans="13:18">
      <c r="M155" s="119">
        <f t="shared" si="17"/>
        <v>0.74000000000000055</v>
      </c>
      <c r="N155" s="119"/>
      <c r="O155" s="119">
        <f t="shared" si="15"/>
        <v>0.39420000000000033</v>
      </c>
      <c r="P155" s="119">
        <f t="shared" si="18"/>
        <v>0.59400000000000053</v>
      </c>
      <c r="Q155" s="119"/>
      <c r="R155" s="119">
        <f t="shared" si="16"/>
        <v>0.74000000000000055</v>
      </c>
    </row>
    <row r="156" spans="13:18">
      <c r="M156" s="119">
        <f t="shared" si="17"/>
        <v>0.74500000000000055</v>
      </c>
      <c r="N156" s="119"/>
      <c r="O156" s="119">
        <f t="shared" si="15"/>
        <v>0.39785000000000043</v>
      </c>
      <c r="P156" s="119">
        <f t="shared" si="18"/>
        <v>0.59850000000000059</v>
      </c>
      <c r="Q156" s="119"/>
      <c r="R156" s="119">
        <f t="shared" si="16"/>
        <v>0.74500000000000055</v>
      </c>
    </row>
    <row r="157" spans="13:18">
      <c r="M157" s="119">
        <f t="shared" si="17"/>
        <v>0.75000000000000056</v>
      </c>
      <c r="N157" s="119"/>
      <c r="O157" s="119">
        <f t="shared" si="15"/>
        <v>0.40150000000000036</v>
      </c>
      <c r="P157" s="119">
        <f t="shared" si="18"/>
        <v>0.60300000000000054</v>
      </c>
      <c r="Q157" s="119"/>
      <c r="R157" s="119">
        <f t="shared" si="16"/>
        <v>0.75000000000000056</v>
      </c>
    </row>
    <row r="158" spans="13:18">
      <c r="M158" s="119">
        <f t="shared" si="17"/>
        <v>0.75500000000000056</v>
      </c>
      <c r="N158" s="119"/>
      <c r="O158" s="119">
        <f t="shared" si="15"/>
        <v>0.40515000000000045</v>
      </c>
      <c r="P158" s="119">
        <f t="shared" si="18"/>
        <v>0.6075000000000006</v>
      </c>
      <c r="Q158" s="119"/>
      <c r="R158" s="119">
        <f t="shared" si="16"/>
        <v>0.75500000000000056</v>
      </c>
    </row>
    <row r="159" spans="13:18">
      <c r="M159" s="119">
        <f t="shared" si="17"/>
        <v>0.76000000000000056</v>
      </c>
      <c r="N159" s="119"/>
      <c r="O159" s="119">
        <f t="shared" si="15"/>
        <v>0.40880000000000033</v>
      </c>
      <c r="P159" s="119">
        <f t="shared" si="18"/>
        <v>0.61200000000000054</v>
      </c>
      <c r="Q159" s="119"/>
      <c r="R159" s="119">
        <f t="shared" si="16"/>
        <v>0.76000000000000056</v>
      </c>
    </row>
    <row r="160" spans="13:18">
      <c r="M160" s="119">
        <f t="shared" si="17"/>
        <v>0.76500000000000057</v>
      </c>
      <c r="N160" s="119"/>
      <c r="O160" s="119">
        <f t="shared" si="15"/>
        <v>0.41245000000000043</v>
      </c>
      <c r="P160" s="119">
        <f t="shared" si="18"/>
        <v>0.6165000000000006</v>
      </c>
      <c r="Q160" s="119"/>
      <c r="R160" s="119">
        <f t="shared" si="16"/>
        <v>0.76500000000000057</v>
      </c>
    </row>
    <row r="161" spans="13:18">
      <c r="M161" s="119">
        <f t="shared" si="17"/>
        <v>0.77000000000000057</v>
      </c>
      <c r="N161" s="119"/>
      <c r="O161" s="119">
        <f t="shared" si="15"/>
        <v>0.41610000000000036</v>
      </c>
      <c r="P161" s="119">
        <f t="shared" si="18"/>
        <v>0.62100000000000055</v>
      </c>
      <c r="Q161" s="119"/>
      <c r="R161" s="119">
        <f t="shared" si="16"/>
        <v>0.77000000000000057</v>
      </c>
    </row>
    <row r="162" spans="13:18">
      <c r="M162" s="119">
        <f t="shared" si="17"/>
        <v>0.77500000000000058</v>
      </c>
      <c r="N162" s="119"/>
      <c r="O162" s="119">
        <f t="shared" si="15"/>
        <v>0.41975000000000046</v>
      </c>
      <c r="P162" s="119">
        <f t="shared" si="18"/>
        <v>0.62550000000000061</v>
      </c>
      <c r="Q162" s="119"/>
      <c r="R162" s="119">
        <f t="shared" si="16"/>
        <v>0.77500000000000058</v>
      </c>
    </row>
    <row r="163" spans="13:18">
      <c r="M163" s="119">
        <f t="shared" si="17"/>
        <v>0.78000000000000058</v>
      </c>
      <c r="N163" s="119"/>
      <c r="O163" s="119">
        <f t="shared" si="15"/>
        <v>0.42340000000000039</v>
      </c>
      <c r="P163" s="119">
        <f t="shared" si="18"/>
        <v>0.63000000000000056</v>
      </c>
      <c r="Q163" s="119"/>
      <c r="R163" s="119">
        <f t="shared" si="16"/>
        <v>0.78000000000000058</v>
      </c>
    </row>
    <row r="164" spans="13:18">
      <c r="M164" s="119">
        <f t="shared" si="17"/>
        <v>0.78500000000000059</v>
      </c>
      <c r="N164" s="119"/>
      <c r="O164" s="119">
        <f t="shared" si="15"/>
        <v>0.42705000000000043</v>
      </c>
      <c r="P164" s="119">
        <f t="shared" si="18"/>
        <v>0.63450000000000062</v>
      </c>
      <c r="Q164" s="119"/>
      <c r="R164" s="119">
        <f t="shared" si="16"/>
        <v>0.78500000000000059</v>
      </c>
    </row>
    <row r="165" spans="13:18">
      <c r="M165" s="119">
        <f t="shared" si="17"/>
        <v>0.79000000000000059</v>
      </c>
      <c r="N165" s="119"/>
      <c r="O165" s="119">
        <f t="shared" si="15"/>
        <v>0.43070000000000036</v>
      </c>
      <c r="P165" s="119">
        <f t="shared" si="18"/>
        <v>0.63900000000000057</v>
      </c>
      <c r="Q165" s="119"/>
      <c r="R165" s="119">
        <f t="shared" si="16"/>
        <v>0.79000000000000059</v>
      </c>
    </row>
    <row r="166" spans="13:18">
      <c r="M166" s="119">
        <f t="shared" si="17"/>
        <v>0.7950000000000006</v>
      </c>
      <c r="N166" s="119"/>
      <c r="O166" s="119">
        <f t="shared" si="15"/>
        <v>0.43435000000000046</v>
      </c>
      <c r="P166" s="119">
        <f t="shared" si="18"/>
        <v>0.64350000000000063</v>
      </c>
      <c r="Q166" s="119"/>
      <c r="R166" s="119">
        <f t="shared" si="16"/>
        <v>0.7950000000000006</v>
      </c>
    </row>
    <row r="167" spans="13:18">
      <c r="M167" s="119">
        <f t="shared" si="17"/>
        <v>0.8000000000000006</v>
      </c>
      <c r="N167" s="119"/>
      <c r="O167" s="119">
        <f t="shared" si="15"/>
        <v>0.43800000000000039</v>
      </c>
      <c r="P167" s="119">
        <f t="shared" si="18"/>
        <v>0.64800000000000058</v>
      </c>
      <c r="Q167" s="119"/>
      <c r="R167" s="119">
        <f t="shared" si="16"/>
        <v>0.8000000000000006</v>
      </c>
    </row>
    <row r="168" spans="13:18">
      <c r="M168" s="119">
        <f t="shared" si="17"/>
        <v>0.8050000000000006</v>
      </c>
      <c r="N168" s="119"/>
      <c r="O168" s="119">
        <f t="shared" si="15"/>
        <v>0.44165000000000049</v>
      </c>
      <c r="P168" s="119">
        <f t="shared" ref="P168:P199" si="19">0.9*(M168-0.08)</f>
        <v>0.65250000000000064</v>
      </c>
      <c r="Q168" s="119"/>
      <c r="R168" s="119">
        <f t="shared" si="16"/>
        <v>0.8050000000000006</v>
      </c>
    </row>
    <row r="169" spans="13:18">
      <c r="M169" s="119">
        <f t="shared" si="17"/>
        <v>0.81000000000000061</v>
      </c>
      <c r="N169" s="119"/>
      <c r="O169" s="119">
        <f t="shared" si="15"/>
        <v>0.44530000000000036</v>
      </c>
      <c r="P169" s="119">
        <f t="shared" si="19"/>
        <v>0.65700000000000058</v>
      </c>
      <c r="Q169" s="119"/>
      <c r="R169" s="119">
        <f t="shared" si="16"/>
        <v>0.81000000000000061</v>
      </c>
    </row>
    <row r="170" spans="13:18">
      <c r="M170" s="119">
        <f t="shared" si="17"/>
        <v>0.81500000000000061</v>
      </c>
      <c r="N170" s="119"/>
      <c r="O170" s="119">
        <f t="shared" si="15"/>
        <v>0.44895000000000046</v>
      </c>
      <c r="P170" s="119">
        <f t="shared" si="19"/>
        <v>0.66150000000000064</v>
      </c>
      <c r="Q170" s="119"/>
      <c r="R170" s="119">
        <f t="shared" si="16"/>
        <v>0.81500000000000061</v>
      </c>
    </row>
    <row r="171" spans="13:18">
      <c r="M171" s="119">
        <f t="shared" si="17"/>
        <v>0.82000000000000062</v>
      </c>
      <c r="N171" s="119"/>
      <c r="O171" s="119">
        <f t="shared" si="15"/>
        <v>0.45260000000000039</v>
      </c>
      <c r="P171" s="119">
        <f t="shared" si="19"/>
        <v>0.66600000000000059</v>
      </c>
      <c r="Q171" s="119"/>
      <c r="R171" s="119">
        <f t="shared" si="16"/>
        <v>0.82000000000000062</v>
      </c>
    </row>
    <row r="172" spans="13:18">
      <c r="M172" s="119">
        <f t="shared" si="17"/>
        <v>0.82500000000000062</v>
      </c>
      <c r="N172" s="119"/>
      <c r="O172" s="119">
        <f t="shared" si="15"/>
        <v>0.45625000000000049</v>
      </c>
      <c r="P172" s="119">
        <f t="shared" si="19"/>
        <v>0.67050000000000065</v>
      </c>
      <c r="Q172" s="119"/>
      <c r="R172" s="119">
        <f t="shared" si="16"/>
        <v>0.82500000000000062</v>
      </c>
    </row>
    <row r="173" spans="13:18">
      <c r="M173" s="119">
        <f t="shared" si="17"/>
        <v>0.83000000000000063</v>
      </c>
      <c r="N173" s="119"/>
      <c r="O173" s="119">
        <f t="shared" si="15"/>
        <v>0.45990000000000042</v>
      </c>
      <c r="P173" s="119">
        <f t="shared" si="19"/>
        <v>0.6750000000000006</v>
      </c>
      <c r="Q173" s="119"/>
      <c r="R173" s="119">
        <f t="shared" si="16"/>
        <v>0.83000000000000063</v>
      </c>
    </row>
    <row r="174" spans="13:18">
      <c r="M174" s="119">
        <f t="shared" si="17"/>
        <v>0.83500000000000063</v>
      </c>
      <c r="N174" s="119"/>
      <c r="O174" s="119">
        <f t="shared" si="15"/>
        <v>0.46355000000000046</v>
      </c>
      <c r="P174" s="119">
        <f t="shared" si="19"/>
        <v>0.67950000000000066</v>
      </c>
      <c r="Q174" s="119"/>
      <c r="R174" s="119">
        <f t="shared" si="16"/>
        <v>0.83500000000000063</v>
      </c>
    </row>
    <row r="175" spans="13:18">
      <c r="M175" s="119">
        <f t="shared" si="17"/>
        <v>0.84000000000000064</v>
      </c>
      <c r="N175" s="119"/>
      <c r="O175" s="119">
        <f t="shared" si="15"/>
        <v>0.46720000000000039</v>
      </c>
      <c r="P175" s="119">
        <f t="shared" si="19"/>
        <v>0.68400000000000061</v>
      </c>
      <c r="Q175" s="119"/>
      <c r="R175" s="119">
        <f t="shared" si="16"/>
        <v>0.84000000000000064</v>
      </c>
    </row>
    <row r="176" spans="13:18">
      <c r="M176" s="119">
        <f t="shared" si="17"/>
        <v>0.84500000000000064</v>
      </c>
      <c r="N176" s="119"/>
      <c r="O176" s="119">
        <f t="shared" si="15"/>
        <v>0.47085000000000049</v>
      </c>
      <c r="P176" s="119">
        <f t="shared" si="19"/>
        <v>0.68850000000000067</v>
      </c>
      <c r="Q176" s="119"/>
      <c r="R176" s="119">
        <f t="shared" si="16"/>
        <v>0.84500000000000064</v>
      </c>
    </row>
    <row r="177" spans="13:18">
      <c r="M177" s="119">
        <f t="shared" si="17"/>
        <v>0.85000000000000064</v>
      </c>
      <c r="N177" s="119"/>
      <c r="O177" s="119">
        <f t="shared" si="15"/>
        <v>0.47450000000000042</v>
      </c>
      <c r="P177" s="119">
        <f t="shared" si="19"/>
        <v>0.69300000000000062</v>
      </c>
      <c r="Q177" s="119"/>
      <c r="R177" s="119">
        <f t="shared" si="16"/>
        <v>0.85000000000000064</v>
      </c>
    </row>
    <row r="178" spans="13:18">
      <c r="M178" s="119">
        <f t="shared" si="17"/>
        <v>0.85500000000000065</v>
      </c>
      <c r="N178" s="119"/>
      <c r="O178" s="119">
        <f t="shared" si="15"/>
        <v>0.47815000000000052</v>
      </c>
      <c r="P178" s="119">
        <f t="shared" si="19"/>
        <v>0.69750000000000068</v>
      </c>
      <c r="Q178" s="119"/>
      <c r="R178" s="119">
        <f t="shared" si="16"/>
        <v>0.85500000000000065</v>
      </c>
    </row>
    <row r="179" spans="13:18">
      <c r="M179" s="119">
        <f t="shared" si="17"/>
        <v>0.86000000000000065</v>
      </c>
      <c r="N179" s="119"/>
      <c r="O179" s="119">
        <f t="shared" si="15"/>
        <v>0.48180000000000039</v>
      </c>
      <c r="P179" s="119">
        <f t="shared" si="19"/>
        <v>0.70200000000000062</v>
      </c>
      <c r="Q179" s="119"/>
      <c r="R179" s="119">
        <f t="shared" si="16"/>
        <v>0.86000000000000065</v>
      </c>
    </row>
    <row r="180" spans="13:18">
      <c r="M180" s="119">
        <f t="shared" si="17"/>
        <v>0.86500000000000066</v>
      </c>
      <c r="N180" s="119"/>
      <c r="O180" s="119">
        <f t="shared" si="15"/>
        <v>0.48545000000000049</v>
      </c>
      <c r="P180" s="119">
        <f t="shared" si="19"/>
        <v>0.70650000000000068</v>
      </c>
      <c r="Q180" s="119"/>
      <c r="R180" s="119">
        <f t="shared" si="16"/>
        <v>0.86500000000000066</v>
      </c>
    </row>
    <row r="181" spans="13:18">
      <c r="M181" s="119">
        <f t="shared" si="17"/>
        <v>0.87000000000000066</v>
      </c>
      <c r="N181" s="119"/>
      <c r="O181" s="119">
        <f t="shared" si="15"/>
        <v>0.48910000000000042</v>
      </c>
      <c r="P181" s="119">
        <f t="shared" si="19"/>
        <v>0.71100000000000063</v>
      </c>
      <c r="Q181" s="119"/>
      <c r="R181" s="119">
        <f t="shared" si="16"/>
        <v>0.87000000000000066</v>
      </c>
    </row>
    <row r="182" spans="13:18">
      <c r="M182" s="119">
        <f t="shared" si="17"/>
        <v>0.87500000000000067</v>
      </c>
      <c r="N182" s="119"/>
      <c r="O182" s="119">
        <f t="shared" si="15"/>
        <v>0.49275000000000052</v>
      </c>
      <c r="P182" s="119">
        <f t="shared" si="19"/>
        <v>0.71550000000000069</v>
      </c>
      <c r="Q182" s="119"/>
      <c r="R182" s="119">
        <f t="shared" si="16"/>
        <v>0.87500000000000067</v>
      </c>
    </row>
    <row r="183" spans="13:18">
      <c r="M183" s="119">
        <f t="shared" si="17"/>
        <v>0.88000000000000067</v>
      </c>
      <c r="N183" s="119"/>
      <c r="O183" s="119">
        <f t="shared" si="15"/>
        <v>0.49640000000000045</v>
      </c>
      <c r="P183" s="119">
        <f t="shared" si="19"/>
        <v>0.72000000000000064</v>
      </c>
      <c r="Q183" s="119"/>
      <c r="R183" s="119">
        <f t="shared" si="16"/>
        <v>0.88000000000000067</v>
      </c>
    </row>
    <row r="184" spans="13:18">
      <c r="M184" s="119">
        <f t="shared" si="17"/>
        <v>0.88500000000000068</v>
      </c>
      <c r="N184" s="119"/>
      <c r="O184" s="119">
        <f t="shared" si="15"/>
        <v>0.50005000000000055</v>
      </c>
      <c r="P184" s="119">
        <f t="shared" si="19"/>
        <v>0.7245000000000007</v>
      </c>
      <c r="Q184" s="119"/>
      <c r="R184" s="119">
        <f t="shared" si="16"/>
        <v>0.88500000000000068</v>
      </c>
    </row>
    <row r="185" spans="13:18">
      <c r="M185" s="119">
        <f t="shared" si="17"/>
        <v>0.89000000000000068</v>
      </c>
      <c r="N185" s="119"/>
      <c r="O185" s="119">
        <f t="shared" si="15"/>
        <v>0.50370000000000048</v>
      </c>
      <c r="P185" s="119">
        <f t="shared" si="19"/>
        <v>0.72900000000000065</v>
      </c>
      <c r="Q185" s="119"/>
      <c r="R185" s="119">
        <f t="shared" si="16"/>
        <v>0.89000000000000068</v>
      </c>
    </row>
    <row r="186" spans="13:18">
      <c r="M186" s="119">
        <f t="shared" si="17"/>
        <v>0.89500000000000068</v>
      </c>
      <c r="N186" s="119"/>
      <c r="O186" s="119">
        <f t="shared" si="15"/>
        <v>0.50735000000000052</v>
      </c>
      <c r="P186" s="119">
        <f t="shared" si="19"/>
        <v>0.73350000000000071</v>
      </c>
      <c r="Q186" s="119"/>
      <c r="R186" s="119">
        <f t="shared" si="16"/>
        <v>0.89500000000000068</v>
      </c>
    </row>
    <row r="187" spans="13:18">
      <c r="M187" s="119">
        <f t="shared" si="17"/>
        <v>0.90000000000000069</v>
      </c>
      <c r="N187" s="119"/>
      <c r="O187" s="119">
        <f t="shared" si="15"/>
        <v>0.51100000000000045</v>
      </c>
      <c r="P187" s="119">
        <f t="shared" si="19"/>
        <v>0.73800000000000066</v>
      </c>
      <c r="Q187" s="119"/>
      <c r="R187" s="119">
        <f t="shared" si="16"/>
        <v>0.90000000000000069</v>
      </c>
    </row>
    <row r="188" spans="13:18">
      <c r="M188" s="119">
        <f t="shared" si="17"/>
        <v>0.90500000000000069</v>
      </c>
      <c r="N188" s="119"/>
      <c r="O188" s="119">
        <f t="shared" si="15"/>
        <v>0.5146500000000005</v>
      </c>
      <c r="P188" s="119">
        <f t="shared" si="19"/>
        <v>0.74250000000000071</v>
      </c>
      <c r="Q188" s="119"/>
      <c r="R188" s="119">
        <f t="shared" si="16"/>
        <v>0.90500000000000069</v>
      </c>
    </row>
    <row r="189" spans="13:18">
      <c r="M189" s="119">
        <f t="shared" si="17"/>
        <v>0.9100000000000007</v>
      </c>
      <c r="N189" s="119"/>
      <c r="O189" s="119">
        <f t="shared" si="15"/>
        <v>0.51830000000000043</v>
      </c>
      <c r="P189" s="119">
        <f t="shared" si="19"/>
        <v>0.74700000000000066</v>
      </c>
      <c r="Q189" s="119"/>
      <c r="R189" s="119">
        <f t="shared" si="16"/>
        <v>0.9100000000000007</v>
      </c>
    </row>
    <row r="190" spans="13:18">
      <c r="M190" s="119">
        <f t="shared" si="17"/>
        <v>0.9150000000000007</v>
      </c>
      <c r="N190" s="119"/>
      <c r="O190" s="119">
        <f t="shared" si="15"/>
        <v>0.52195000000000058</v>
      </c>
      <c r="P190" s="119">
        <f t="shared" si="19"/>
        <v>0.75150000000000072</v>
      </c>
      <c r="Q190" s="119"/>
      <c r="R190" s="119">
        <f t="shared" si="16"/>
        <v>0.9150000000000007</v>
      </c>
    </row>
    <row r="191" spans="13:18">
      <c r="M191" s="119">
        <f t="shared" si="17"/>
        <v>0.92000000000000071</v>
      </c>
      <c r="N191" s="119"/>
      <c r="O191" s="119">
        <f t="shared" si="15"/>
        <v>0.5256000000000004</v>
      </c>
      <c r="P191" s="119">
        <f t="shared" si="19"/>
        <v>0.75600000000000067</v>
      </c>
      <c r="Q191" s="119"/>
      <c r="R191" s="119">
        <f t="shared" si="16"/>
        <v>0.92000000000000071</v>
      </c>
    </row>
    <row r="192" spans="13:18">
      <c r="M192" s="119">
        <f t="shared" si="17"/>
        <v>0.92500000000000071</v>
      </c>
      <c r="N192" s="119"/>
      <c r="O192" s="119">
        <f t="shared" si="15"/>
        <v>0.52925000000000055</v>
      </c>
      <c r="P192" s="119">
        <f t="shared" si="19"/>
        <v>0.76050000000000073</v>
      </c>
      <c r="Q192" s="119"/>
      <c r="R192" s="119">
        <f t="shared" si="16"/>
        <v>0.92500000000000071</v>
      </c>
    </row>
    <row r="193" spans="13:18">
      <c r="M193" s="119">
        <f t="shared" si="17"/>
        <v>0.93000000000000071</v>
      </c>
      <c r="N193" s="119"/>
      <c r="O193" s="119">
        <f t="shared" si="15"/>
        <v>0.53290000000000048</v>
      </c>
      <c r="P193" s="119">
        <f t="shared" si="19"/>
        <v>0.76500000000000068</v>
      </c>
      <c r="Q193" s="119"/>
      <c r="R193" s="119">
        <f t="shared" si="16"/>
        <v>0.93000000000000071</v>
      </c>
    </row>
    <row r="194" spans="13:18">
      <c r="M194" s="119">
        <f t="shared" si="17"/>
        <v>0.93500000000000072</v>
      </c>
      <c r="N194" s="119"/>
      <c r="O194" s="119">
        <f t="shared" si="15"/>
        <v>0.53655000000000053</v>
      </c>
      <c r="P194" s="119">
        <f t="shared" si="19"/>
        <v>0.76950000000000074</v>
      </c>
      <c r="Q194" s="119"/>
      <c r="R194" s="119">
        <f t="shared" si="16"/>
        <v>0.93500000000000072</v>
      </c>
    </row>
    <row r="195" spans="13:18">
      <c r="M195" s="119">
        <f t="shared" si="17"/>
        <v>0.94000000000000072</v>
      </c>
      <c r="N195" s="119"/>
      <c r="O195" s="119">
        <f t="shared" si="15"/>
        <v>0.54020000000000046</v>
      </c>
      <c r="P195" s="119">
        <f t="shared" si="19"/>
        <v>0.77400000000000069</v>
      </c>
      <c r="Q195" s="119"/>
      <c r="R195" s="119">
        <f t="shared" si="16"/>
        <v>0.94000000000000072</v>
      </c>
    </row>
    <row r="196" spans="13:18">
      <c r="M196" s="119">
        <f t="shared" si="17"/>
        <v>0.94500000000000073</v>
      </c>
      <c r="N196" s="119"/>
      <c r="O196" s="119">
        <f t="shared" si="15"/>
        <v>0.5438500000000005</v>
      </c>
      <c r="P196" s="119">
        <f t="shared" si="19"/>
        <v>0.77850000000000075</v>
      </c>
      <c r="Q196" s="119"/>
      <c r="R196" s="119">
        <f t="shared" si="16"/>
        <v>0.94500000000000073</v>
      </c>
    </row>
    <row r="197" spans="13:18">
      <c r="M197" s="119">
        <f t="shared" si="17"/>
        <v>0.95000000000000073</v>
      </c>
      <c r="N197" s="119"/>
      <c r="O197" s="119">
        <f t="shared" si="15"/>
        <v>0.54750000000000043</v>
      </c>
      <c r="P197" s="119">
        <f t="shared" si="19"/>
        <v>0.7830000000000007</v>
      </c>
      <c r="Q197" s="119"/>
      <c r="R197" s="119">
        <f t="shared" si="16"/>
        <v>0.95000000000000073</v>
      </c>
    </row>
    <row r="198" spans="13:18">
      <c r="M198" s="119">
        <f t="shared" si="17"/>
        <v>0.95500000000000074</v>
      </c>
      <c r="N198" s="119"/>
      <c r="O198" s="119">
        <f t="shared" si="15"/>
        <v>0.55115000000000058</v>
      </c>
      <c r="P198" s="119">
        <f t="shared" si="19"/>
        <v>0.78750000000000075</v>
      </c>
      <c r="Q198" s="119"/>
      <c r="R198" s="119">
        <f t="shared" si="16"/>
        <v>0.95500000000000074</v>
      </c>
    </row>
    <row r="199" spans="13:18">
      <c r="M199" s="119">
        <f t="shared" si="17"/>
        <v>0.96000000000000074</v>
      </c>
      <c r="N199" s="119"/>
      <c r="O199" s="119">
        <f t="shared" ref="O199:O227" si="20">IF(M199&lt;=0.255,0.04,0.73*(M199-0.2))</f>
        <v>0.55480000000000051</v>
      </c>
      <c r="P199" s="119">
        <f t="shared" si="19"/>
        <v>0.7920000000000007</v>
      </c>
      <c r="Q199" s="119"/>
      <c r="R199" s="119">
        <f t="shared" ref="R199:R227" si="21">M199</f>
        <v>0.96000000000000074</v>
      </c>
    </row>
    <row r="200" spans="13:18">
      <c r="M200" s="119">
        <f t="shared" ref="M200:M227" si="22">M199+0.5/100</f>
        <v>0.96500000000000075</v>
      </c>
      <c r="N200" s="119"/>
      <c r="O200" s="119">
        <f t="shared" si="20"/>
        <v>0.55845000000000056</v>
      </c>
      <c r="P200" s="119">
        <f t="shared" ref="P200:P227" si="23">0.9*(M200-0.08)</f>
        <v>0.79650000000000076</v>
      </c>
      <c r="Q200" s="119"/>
      <c r="R200" s="119">
        <f t="shared" si="21"/>
        <v>0.96500000000000075</v>
      </c>
    </row>
    <row r="201" spans="13:18">
      <c r="M201" s="119">
        <f t="shared" si="22"/>
        <v>0.97000000000000075</v>
      </c>
      <c r="N201" s="119"/>
      <c r="O201" s="119">
        <f t="shared" si="20"/>
        <v>0.56210000000000049</v>
      </c>
      <c r="P201" s="119">
        <f t="shared" si="23"/>
        <v>0.80100000000000071</v>
      </c>
      <c r="Q201" s="119"/>
      <c r="R201" s="119">
        <f t="shared" si="21"/>
        <v>0.97000000000000075</v>
      </c>
    </row>
    <row r="202" spans="13:18">
      <c r="M202" s="119">
        <f t="shared" si="22"/>
        <v>0.97500000000000075</v>
      </c>
      <c r="N202" s="119"/>
      <c r="O202" s="119">
        <f t="shared" si="20"/>
        <v>0.56575000000000053</v>
      </c>
      <c r="P202" s="119">
        <f t="shared" si="23"/>
        <v>0.80550000000000077</v>
      </c>
      <c r="Q202" s="119"/>
      <c r="R202" s="119">
        <f t="shared" si="21"/>
        <v>0.97500000000000075</v>
      </c>
    </row>
    <row r="203" spans="13:18">
      <c r="M203" s="119">
        <f t="shared" si="22"/>
        <v>0.98000000000000076</v>
      </c>
      <c r="N203" s="119"/>
      <c r="O203" s="119">
        <f t="shared" si="20"/>
        <v>0.56940000000000046</v>
      </c>
      <c r="P203" s="119">
        <f t="shared" si="23"/>
        <v>0.81000000000000072</v>
      </c>
      <c r="Q203" s="119"/>
      <c r="R203" s="119">
        <f t="shared" si="21"/>
        <v>0.98000000000000076</v>
      </c>
    </row>
    <row r="204" spans="13:18">
      <c r="M204" s="119">
        <f t="shared" si="22"/>
        <v>0.98500000000000076</v>
      </c>
      <c r="N204" s="119"/>
      <c r="O204" s="119">
        <f t="shared" si="20"/>
        <v>0.57305000000000061</v>
      </c>
      <c r="P204" s="119">
        <f t="shared" si="23"/>
        <v>0.81450000000000078</v>
      </c>
      <c r="Q204" s="119"/>
      <c r="R204" s="119">
        <f t="shared" si="21"/>
        <v>0.98500000000000076</v>
      </c>
    </row>
    <row r="205" spans="13:18">
      <c r="M205" s="119">
        <f t="shared" si="22"/>
        <v>0.99000000000000077</v>
      </c>
      <c r="N205" s="119"/>
      <c r="O205" s="119">
        <f t="shared" si="20"/>
        <v>0.57670000000000055</v>
      </c>
      <c r="P205" s="119">
        <f t="shared" si="23"/>
        <v>0.81900000000000073</v>
      </c>
      <c r="Q205" s="119"/>
      <c r="R205" s="119">
        <f t="shared" si="21"/>
        <v>0.99000000000000077</v>
      </c>
    </row>
    <row r="206" spans="13:18">
      <c r="M206" s="119">
        <f t="shared" si="22"/>
        <v>0.99500000000000077</v>
      </c>
      <c r="N206" s="119"/>
      <c r="O206" s="119">
        <f t="shared" si="20"/>
        <v>0.58035000000000059</v>
      </c>
      <c r="P206" s="119">
        <f t="shared" si="23"/>
        <v>0.82350000000000079</v>
      </c>
      <c r="Q206" s="119"/>
      <c r="R206" s="119">
        <f t="shared" si="21"/>
        <v>0.99500000000000077</v>
      </c>
    </row>
    <row r="207" spans="13:18">
      <c r="M207" s="119">
        <f t="shared" si="22"/>
        <v>1.0000000000000007</v>
      </c>
      <c r="N207" s="119"/>
      <c r="O207" s="119">
        <f t="shared" si="20"/>
        <v>0.58400000000000052</v>
      </c>
      <c r="P207" s="119">
        <f t="shared" si="23"/>
        <v>0.82800000000000062</v>
      </c>
      <c r="Q207" s="119"/>
      <c r="R207" s="119">
        <f t="shared" si="21"/>
        <v>1.0000000000000007</v>
      </c>
    </row>
    <row r="208" spans="13:18">
      <c r="M208" s="119">
        <f t="shared" si="22"/>
        <v>1.0050000000000006</v>
      </c>
      <c r="N208" s="119"/>
      <c r="O208" s="119">
        <f t="shared" si="20"/>
        <v>0.58765000000000045</v>
      </c>
      <c r="P208" s="119">
        <f t="shared" si="23"/>
        <v>0.83250000000000057</v>
      </c>
      <c r="Q208" s="119"/>
      <c r="R208" s="119">
        <f t="shared" si="21"/>
        <v>1.0050000000000006</v>
      </c>
    </row>
    <row r="209" spans="13:18">
      <c r="M209" s="119">
        <f t="shared" si="22"/>
        <v>1.0100000000000005</v>
      </c>
      <c r="N209" s="119"/>
      <c r="O209" s="119">
        <f t="shared" si="20"/>
        <v>0.59130000000000038</v>
      </c>
      <c r="P209" s="119">
        <f t="shared" si="23"/>
        <v>0.83700000000000041</v>
      </c>
      <c r="Q209" s="119"/>
      <c r="R209" s="119">
        <f t="shared" si="21"/>
        <v>1.0100000000000005</v>
      </c>
    </row>
    <row r="210" spans="13:18">
      <c r="M210" s="119">
        <f t="shared" si="22"/>
        <v>1.0150000000000003</v>
      </c>
      <c r="N210" s="119"/>
      <c r="O210" s="119">
        <f t="shared" si="20"/>
        <v>0.59495000000000031</v>
      </c>
      <c r="P210" s="119">
        <f t="shared" si="23"/>
        <v>0.84150000000000036</v>
      </c>
      <c r="Q210" s="119"/>
      <c r="R210" s="119">
        <f t="shared" si="21"/>
        <v>1.0150000000000003</v>
      </c>
    </row>
    <row r="211" spans="13:18">
      <c r="M211" s="119">
        <f t="shared" si="22"/>
        <v>1.0200000000000002</v>
      </c>
      <c r="N211" s="119"/>
      <c r="O211" s="119">
        <f t="shared" si="20"/>
        <v>0.59860000000000024</v>
      </c>
      <c r="P211" s="119">
        <f t="shared" si="23"/>
        <v>0.84600000000000031</v>
      </c>
      <c r="Q211" s="119"/>
      <c r="R211" s="119">
        <f t="shared" si="21"/>
        <v>1.0200000000000002</v>
      </c>
    </row>
    <row r="212" spans="13:18">
      <c r="M212" s="119">
        <f t="shared" si="22"/>
        <v>1.0250000000000001</v>
      </c>
      <c r="N212" s="119"/>
      <c r="O212" s="119">
        <f t="shared" si="20"/>
        <v>0.60225000000000006</v>
      </c>
      <c r="P212" s="119">
        <f t="shared" si="23"/>
        <v>0.85050000000000014</v>
      </c>
      <c r="Q212" s="119"/>
      <c r="R212" s="119">
        <f t="shared" si="21"/>
        <v>1.0250000000000001</v>
      </c>
    </row>
    <row r="213" spans="13:18">
      <c r="M213" s="119">
        <f t="shared" si="22"/>
        <v>1.03</v>
      </c>
      <c r="N213" s="119"/>
      <c r="O213" s="119">
        <f t="shared" si="20"/>
        <v>0.60589999999999999</v>
      </c>
      <c r="P213" s="119">
        <f t="shared" si="23"/>
        <v>0.85500000000000009</v>
      </c>
      <c r="Q213" s="119"/>
      <c r="R213" s="119">
        <f t="shared" si="21"/>
        <v>1.03</v>
      </c>
    </row>
    <row r="214" spans="13:18">
      <c r="M214" s="119">
        <f t="shared" si="22"/>
        <v>1.0349999999999999</v>
      </c>
      <c r="N214" s="119"/>
      <c r="O214" s="119">
        <f t="shared" si="20"/>
        <v>0.60954999999999993</v>
      </c>
      <c r="P214" s="119">
        <f t="shared" si="23"/>
        <v>0.85949999999999993</v>
      </c>
      <c r="Q214" s="119"/>
      <c r="R214" s="119">
        <f t="shared" si="21"/>
        <v>1.0349999999999999</v>
      </c>
    </row>
    <row r="215" spans="13:18">
      <c r="M215" s="119">
        <f t="shared" si="22"/>
        <v>1.0399999999999998</v>
      </c>
      <c r="N215" s="119"/>
      <c r="O215" s="119">
        <f t="shared" si="20"/>
        <v>0.61319999999999986</v>
      </c>
      <c r="P215" s="119">
        <f t="shared" si="23"/>
        <v>0.86399999999999988</v>
      </c>
      <c r="Q215" s="119"/>
      <c r="R215" s="119">
        <f t="shared" si="21"/>
        <v>1.0399999999999998</v>
      </c>
    </row>
    <row r="216" spans="13:18">
      <c r="M216" s="119">
        <f t="shared" si="22"/>
        <v>1.0449999999999997</v>
      </c>
      <c r="N216" s="119"/>
      <c r="O216" s="119">
        <f t="shared" si="20"/>
        <v>0.61684999999999979</v>
      </c>
      <c r="P216" s="119">
        <f t="shared" si="23"/>
        <v>0.86849999999999983</v>
      </c>
      <c r="Q216" s="119"/>
      <c r="R216" s="119">
        <f t="shared" si="21"/>
        <v>1.0449999999999997</v>
      </c>
    </row>
    <row r="217" spans="13:18">
      <c r="M217" s="119">
        <f t="shared" si="22"/>
        <v>1.0499999999999996</v>
      </c>
      <c r="N217" s="119"/>
      <c r="O217" s="119">
        <f t="shared" si="20"/>
        <v>0.62049999999999972</v>
      </c>
      <c r="P217" s="119">
        <f t="shared" si="23"/>
        <v>0.87299999999999967</v>
      </c>
      <c r="Q217" s="119"/>
      <c r="R217" s="119">
        <f t="shared" si="21"/>
        <v>1.0499999999999996</v>
      </c>
    </row>
    <row r="218" spans="13:18">
      <c r="M218" s="119">
        <f t="shared" si="22"/>
        <v>1.0549999999999995</v>
      </c>
      <c r="N218" s="119"/>
      <c r="O218" s="119">
        <f t="shared" si="20"/>
        <v>0.62414999999999965</v>
      </c>
      <c r="P218" s="119">
        <f t="shared" si="23"/>
        <v>0.87749999999999961</v>
      </c>
      <c r="Q218" s="119"/>
      <c r="R218" s="119">
        <f t="shared" si="21"/>
        <v>1.0549999999999995</v>
      </c>
    </row>
    <row r="219" spans="13:18">
      <c r="M219" s="119">
        <f t="shared" si="22"/>
        <v>1.0599999999999994</v>
      </c>
      <c r="N219" s="119"/>
      <c r="O219" s="119">
        <f t="shared" si="20"/>
        <v>0.62779999999999958</v>
      </c>
      <c r="P219" s="119">
        <f t="shared" si="23"/>
        <v>0.88199999999999945</v>
      </c>
      <c r="Q219" s="119"/>
      <c r="R219" s="119">
        <f t="shared" si="21"/>
        <v>1.0599999999999994</v>
      </c>
    </row>
    <row r="220" spans="13:18">
      <c r="M220" s="119">
        <f t="shared" si="22"/>
        <v>1.0649999999999993</v>
      </c>
      <c r="N220" s="119"/>
      <c r="O220" s="119">
        <f t="shared" si="20"/>
        <v>0.63144999999999951</v>
      </c>
      <c r="P220" s="119">
        <f t="shared" si="23"/>
        <v>0.8864999999999994</v>
      </c>
      <c r="Q220" s="119"/>
      <c r="R220" s="119">
        <f t="shared" si="21"/>
        <v>1.0649999999999993</v>
      </c>
    </row>
    <row r="221" spans="13:18">
      <c r="M221" s="119">
        <f t="shared" si="22"/>
        <v>1.0699999999999992</v>
      </c>
      <c r="N221" s="119"/>
      <c r="O221" s="119">
        <f t="shared" si="20"/>
        <v>0.63509999999999944</v>
      </c>
      <c r="P221" s="119">
        <f t="shared" si="23"/>
        <v>0.89099999999999935</v>
      </c>
      <c r="Q221" s="119"/>
      <c r="R221" s="119">
        <f t="shared" si="21"/>
        <v>1.0699999999999992</v>
      </c>
    </row>
    <row r="222" spans="13:18">
      <c r="M222" s="119">
        <f t="shared" si="22"/>
        <v>1.0749999999999991</v>
      </c>
      <c r="N222" s="119"/>
      <c r="O222" s="119">
        <f t="shared" si="20"/>
        <v>0.63874999999999937</v>
      </c>
      <c r="P222" s="119">
        <f t="shared" si="23"/>
        <v>0.89549999999999919</v>
      </c>
      <c r="Q222" s="119"/>
      <c r="R222" s="119">
        <f t="shared" si="21"/>
        <v>1.0749999999999991</v>
      </c>
    </row>
    <row r="223" spans="13:18">
      <c r="M223" s="119">
        <f t="shared" si="22"/>
        <v>1.079999999999999</v>
      </c>
      <c r="N223" s="119"/>
      <c r="O223" s="119">
        <f t="shared" si="20"/>
        <v>0.6423999999999993</v>
      </c>
      <c r="P223" s="119">
        <f t="shared" si="23"/>
        <v>0.89999999999999913</v>
      </c>
      <c r="Q223" s="119"/>
      <c r="R223" s="119">
        <f t="shared" si="21"/>
        <v>1.079999999999999</v>
      </c>
    </row>
    <row r="224" spans="13:18">
      <c r="M224" s="119">
        <f t="shared" si="22"/>
        <v>1.0849999999999989</v>
      </c>
      <c r="N224" s="119"/>
      <c r="O224" s="119">
        <f t="shared" si="20"/>
        <v>0.64604999999999912</v>
      </c>
      <c r="P224" s="119">
        <f t="shared" si="23"/>
        <v>0.90449999999999897</v>
      </c>
      <c r="Q224" s="119"/>
      <c r="R224" s="119">
        <f t="shared" si="21"/>
        <v>1.0849999999999989</v>
      </c>
    </row>
    <row r="225" spans="13:18">
      <c r="M225" s="119">
        <f t="shared" si="22"/>
        <v>1.0899999999999987</v>
      </c>
      <c r="N225" s="119"/>
      <c r="O225" s="119">
        <f t="shared" si="20"/>
        <v>0.64969999999999906</v>
      </c>
      <c r="P225" s="119">
        <f t="shared" si="23"/>
        <v>0.90899999999999881</v>
      </c>
      <c r="Q225" s="119"/>
      <c r="R225" s="119">
        <f t="shared" si="21"/>
        <v>1.0899999999999987</v>
      </c>
    </row>
    <row r="226" spans="13:18">
      <c r="M226" s="119">
        <f t="shared" si="22"/>
        <v>1.0949999999999986</v>
      </c>
      <c r="N226" s="119"/>
      <c r="O226" s="119">
        <f t="shared" si="20"/>
        <v>0.65334999999999899</v>
      </c>
      <c r="P226" s="119">
        <f t="shared" si="23"/>
        <v>0.91349999999999876</v>
      </c>
      <c r="Q226" s="119"/>
      <c r="R226" s="119">
        <f t="shared" si="21"/>
        <v>1.0949999999999986</v>
      </c>
    </row>
    <row r="227" spans="13:18">
      <c r="M227" s="119">
        <f t="shared" si="22"/>
        <v>1.0999999999999985</v>
      </c>
      <c r="N227" s="119"/>
      <c r="O227" s="119">
        <f t="shared" si="20"/>
        <v>0.65699999999999892</v>
      </c>
      <c r="P227" s="119">
        <f t="shared" si="23"/>
        <v>0.91799999999999859</v>
      </c>
      <c r="Q227" s="119"/>
      <c r="R227" s="119">
        <f t="shared" si="21"/>
        <v>1.0999999999999985</v>
      </c>
    </row>
  </sheetData>
  <sheetProtection sheet="1" objects="1" scenarios="1"/>
  <phoneticPr fontId="0" type="noConversion"/>
  <printOptions horizontalCentered="1" verticalCentered="1" gridLinesSet="0"/>
  <pageMargins left="0.5" right="0.5" top="0.75" bottom="0.75" header="0.5" footer="0.5"/>
  <pageSetup scale="96" orientation="portrait" horizontalDpi="300" verticalDpi="300" r:id="rId1"/>
  <headerFooter alignWithMargins="0">
    <oddHeader>&amp;A</oddHeader>
    <oddFooter>Page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398"/>
  <sheetViews>
    <sheetView showGridLines="0" showOutlineSymbols="0" zoomScale="90" workbookViewId="0">
      <pane xSplit="6" ySplit="2" topLeftCell="H3" activePane="bottomRight" state="frozen"/>
      <selection activeCell="D25" sqref="D25"/>
      <selection pane="topRight" activeCell="D25" sqref="D25"/>
      <selection pane="bottomLeft" activeCell="D25" sqref="D25"/>
      <selection pane="bottomRight" activeCell="B65" sqref="B65"/>
    </sheetView>
  </sheetViews>
  <sheetFormatPr defaultRowHeight="11.25" outlineLevelCol="1"/>
  <cols>
    <col min="1" max="1" width="7.7109375" style="47" customWidth="1"/>
    <col min="2" max="2" width="9.85546875" style="80" customWidth="1"/>
    <col min="3" max="3" width="21.28515625" style="81" customWidth="1"/>
    <col min="4" max="4" width="5.7109375" style="47" customWidth="1"/>
    <col min="5" max="5" width="5.7109375" style="48" hidden="1" customWidth="1" outlineLevel="1"/>
    <col min="6" max="6" width="25.7109375" style="49" hidden="1" customWidth="1" outlineLevel="1"/>
    <col min="7" max="7" width="5.7109375" style="88" customWidth="1" collapsed="1"/>
    <col min="8" max="8" width="5.7109375" style="88" customWidth="1"/>
    <col min="9" max="20" width="5.7109375" style="82" customWidth="1"/>
    <col min="21" max="21" width="5.7109375" style="343" customWidth="1"/>
    <col min="22" max="34" width="5.7109375" style="82" customWidth="1"/>
    <col min="35" max="35" width="5.7109375" style="83" customWidth="1"/>
    <col min="36" max="16384" width="9.140625" style="52"/>
  </cols>
  <sheetData>
    <row r="1" spans="1:35" s="58" customFormat="1" ht="10.5">
      <c r="A1" s="340" t="s">
        <v>0</v>
      </c>
      <c r="B1" s="280" t="s">
        <v>474</v>
      </c>
      <c r="C1" s="281"/>
      <c r="D1" s="53"/>
      <c r="E1" s="282"/>
      <c r="F1" s="283"/>
      <c r="G1" s="284">
        <v>150</v>
      </c>
      <c r="H1" s="284">
        <v>100</v>
      </c>
      <c r="I1" s="285">
        <v>75</v>
      </c>
      <c r="J1" s="286">
        <v>63</v>
      </c>
      <c r="K1" s="286">
        <v>50</v>
      </c>
      <c r="L1" s="286">
        <v>45</v>
      </c>
      <c r="M1" s="286">
        <v>37.5</v>
      </c>
      <c r="N1" s="286">
        <v>31.5</v>
      </c>
      <c r="O1" s="286">
        <v>25</v>
      </c>
      <c r="P1" s="286">
        <v>22.4</v>
      </c>
      <c r="Q1" s="286">
        <v>19</v>
      </c>
      <c r="R1" s="286">
        <v>16</v>
      </c>
      <c r="S1" s="286">
        <v>12.5</v>
      </c>
      <c r="T1" s="286">
        <v>9.5</v>
      </c>
      <c r="U1" s="286">
        <v>6.3</v>
      </c>
      <c r="V1" s="287">
        <v>4.75</v>
      </c>
      <c r="W1" s="287">
        <v>2.36</v>
      </c>
      <c r="X1" s="287">
        <v>2</v>
      </c>
      <c r="Y1" s="287">
        <v>1.18</v>
      </c>
      <c r="Z1" s="287">
        <v>0.85</v>
      </c>
      <c r="AA1" s="287">
        <v>0.6</v>
      </c>
      <c r="AB1" s="288">
        <v>0.42499999999999999</v>
      </c>
      <c r="AC1" s="288">
        <v>0.3</v>
      </c>
      <c r="AD1" s="288">
        <v>0.25</v>
      </c>
      <c r="AE1" s="288">
        <v>0.18</v>
      </c>
      <c r="AF1" s="288">
        <v>0.15</v>
      </c>
      <c r="AG1" s="288">
        <v>0.106</v>
      </c>
      <c r="AH1" s="288">
        <v>0.09</v>
      </c>
      <c r="AI1" s="288">
        <v>7.4999999999999997E-2</v>
      </c>
    </row>
    <row r="2" spans="1:35" s="58" customFormat="1">
      <c r="A2" s="53" t="s">
        <v>87</v>
      </c>
      <c r="B2" s="54" t="s">
        <v>22</v>
      </c>
      <c r="C2" s="55" t="s">
        <v>88</v>
      </c>
      <c r="D2" s="47" t="s">
        <v>89</v>
      </c>
      <c r="E2" s="48"/>
      <c r="F2" s="49"/>
      <c r="G2" s="85" t="s">
        <v>83</v>
      </c>
      <c r="H2" s="85" t="s">
        <v>82</v>
      </c>
      <c r="I2" s="85" t="s">
        <v>28</v>
      </c>
      <c r="J2" s="56" t="s">
        <v>29</v>
      </c>
      <c r="K2" s="56" t="s">
        <v>31</v>
      </c>
      <c r="L2" s="56" t="s">
        <v>34</v>
      </c>
      <c r="M2" s="56" t="s">
        <v>36</v>
      </c>
      <c r="N2" s="56" t="s">
        <v>38</v>
      </c>
      <c r="O2" s="56" t="s">
        <v>40</v>
      </c>
      <c r="P2" s="56" t="s">
        <v>84</v>
      </c>
      <c r="Q2" s="56" t="s">
        <v>42</v>
      </c>
      <c r="R2" s="56" t="s">
        <v>43</v>
      </c>
      <c r="S2" s="56" t="s">
        <v>44</v>
      </c>
      <c r="T2" s="56" t="s">
        <v>45</v>
      </c>
      <c r="U2" s="56" t="s">
        <v>46</v>
      </c>
      <c r="V2" s="56" t="s">
        <v>48</v>
      </c>
      <c r="W2" s="56" t="s">
        <v>66</v>
      </c>
      <c r="X2" s="56" t="s">
        <v>67</v>
      </c>
      <c r="Y2" s="56" t="s">
        <v>69</v>
      </c>
      <c r="Z2" s="56" t="s">
        <v>71</v>
      </c>
      <c r="AA2" s="56" t="s">
        <v>72</v>
      </c>
      <c r="AB2" s="56" t="s">
        <v>73</v>
      </c>
      <c r="AC2" s="56" t="s">
        <v>74</v>
      </c>
      <c r="AD2" s="56" t="s">
        <v>75</v>
      </c>
      <c r="AE2" s="56" t="s">
        <v>76</v>
      </c>
      <c r="AF2" s="56" t="s">
        <v>77</v>
      </c>
      <c r="AG2" s="56" t="s">
        <v>85</v>
      </c>
      <c r="AH2" s="56" t="s">
        <v>86</v>
      </c>
      <c r="AI2" s="57" t="s">
        <v>78</v>
      </c>
    </row>
    <row r="3" spans="1:35">
      <c r="A3" s="59" t="s">
        <v>90</v>
      </c>
      <c r="B3" s="60"/>
      <c r="C3" s="61"/>
      <c r="D3" s="62" t="s">
        <v>27</v>
      </c>
      <c r="E3" s="63" t="str">
        <f>A3&amp;" "&amp;B3&amp;" "&amp;C3</f>
        <v xml:space="preserve"> No Specs  </v>
      </c>
      <c r="F3" s="63" t="str">
        <f t="shared" ref="F3:F66" si="0">A3&amp;" "&amp;B3&amp;" "&amp;C3&amp;" "&amp;D3</f>
        <v xml:space="preserve"> No Specs   Max</v>
      </c>
      <c r="G3" s="86">
        <v>1</v>
      </c>
      <c r="H3" s="86">
        <v>1</v>
      </c>
      <c r="I3" s="86">
        <v>1</v>
      </c>
      <c r="J3" s="64">
        <v>1</v>
      </c>
      <c r="K3" s="64">
        <v>1</v>
      </c>
      <c r="L3" s="64">
        <v>1</v>
      </c>
      <c r="M3" s="64">
        <v>1</v>
      </c>
      <c r="N3" s="64">
        <v>1</v>
      </c>
      <c r="O3" s="64">
        <v>1</v>
      </c>
      <c r="P3" s="64">
        <v>1</v>
      </c>
      <c r="Q3" s="64">
        <v>1</v>
      </c>
      <c r="R3" s="64">
        <v>1</v>
      </c>
      <c r="S3" s="64">
        <v>1</v>
      </c>
      <c r="T3" s="64">
        <v>1</v>
      </c>
      <c r="U3" s="341">
        <v>1</v>
      </c>
      <c r="V3" s="64">
        <v>1</v>
      </c>
      <c r="W3" s="64">
        <v>1</v>
      </c>
      <c r="X3" s="64">
        <v>1</v>
      </c>
      <c r="Y3" s="64">
        <v>1</v>
      </c>
      <c r="Z3" s="64">
        <v>1</v>
      </c>
      <c r="AA3" s="64">
        <v>1</v>
      </c>
      <c r="AB3" s="64">
        <v>1</v>
      </c>
      <c r="AC3" s="64">
        <v>1</v>
      </c>
      <c r="AD3" s="64">
        <v>1</v>
      </c>
      <c r="AE3" s="64">
        <v>1</v>
      </c>
      <c r="AF3" s="64">
        <v>1</v>
      </c>
      <c r="AG3" s="64">
        <v>1</v>
      </c>
      <c r="AH3" s="64">
        <v>1</v>
      </c>
      <c r="AI3" s="64">
        <v>1</v>
      </c>
    </row>
    <row r="4" spans="1:35">
      <c r="A4" s="65" t="s">
        <v>90</v>
      </c>
      <c r="B4" s="66"/>
      <c r="C4" s="67"/>
      <c r="D4" s="68" t="s">
        <v>26</v>
      </c>
      <c r="E4" s="69"/>
      <c r="F4" s="70" t="str">
        <f t="shared" si="0"/>
        <v xml:space="preserve"> No Specs   Min</v>
      </c>
      <c r="G4" s="87">
        <v>0</v>
      </c>
      <c r="H4" s="87">
        <v>0</v>
      </c>
      <c r="I4" s="87">
        <v>0</v>
      </c>
      <c r="J4" s="71">
        <v>0</v>
      </c>
      <c r="K4" s="71">
        <v>0</v>
      </c>
      <c r="L4" s="71">
        <v>0</v>
      </c>
      <c r="M4" s="71">
        <v>0</v>
      </c>
      <c r="N4" s="71">
        <v>0</v>
      </c>
      <c r="O4" s="71">
        <v>0</v>
      </c>
      <c r="P4" s="71">
        <v>0</v>
      </c>
      <c r="Q4" s="71">
        <v>0</v>
      </c>
      <c r="R4" s="71">
        <v>0</v>
      </c>
      <c r="S4" s="71">
        <v>0</v>
      </c>
      <c r="T4" s="71">
        <v>0</v>
      </c>
      <c r="U4" s="342">
        <v>0</v>
      </c>
      <c r="V4" s="71">
        <v>0</v>
      </c>
      <c r="W4" s="71">
        <v>0</v>
      </c>
      <c r="X4" s="71">
        <v>0</v>
      </c>
      <c r="Y4" s="71">
        <v>0</v>
      </c>
      <c r="Z4" s="71">
        <v>0</v>
      </c>
      <c r="AA4" s="71">
        <v>0</v>
      </c>
      <c r="AB4" s="71">
        <v>0</v>
      </c>
      <c r="AC4" s="71">
        <v>0</v>
      </c>
      <c r="AD4" s="71">
        <v>0</v>
      </c>
      <c r="AE4" s="71">
        <v>0</v>
      </c>
      <c r="AF4" s="71">
        <v>0</v>
      </c>
      <c r="AG4" s="71">
        <v>0</v>
      </c>
      <c r="AH4" s="71">
        <v>0</v>
      </c>
      <c r="AI4" s="71">
        <v>0</v>
      </c>
    </row>
    <row r="5" spans="1:35">
      <c r="A5" s="72" t="s">
        <v>91</v>
      </c>
      <c r="B5" s="73"/>
      <c r="C5" s="74"/>
      <c r="D5" s="62" t="s">
        <v>27</v>
      </c>
      <c r="E5" s="63" t="str">
        <f>A5&amp;" "&amp;B5&amp;" "&amp;C5</f>
        <v xml:space="preserve">Other  </v>
      </c>
      <c r="F5" s="63" t="str">
        <f t="shared" si="0"/>
        <v>Other   Max</v>
      </c>
      <c r="I5" s="84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6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</row>
    <row r="6" spans="1:35">
      <c r="A6" s="72" t="s">
        <v>91</v>
      </c>
      <c r="B6" s="73"/>
      <c r="C6" s="74"/>
      <c r="D6" s="68" t="s">
        <v>26</v>
      </c>
      <c r="E6" s="69"/>
      <c r="F6" s="70" t="str">
        <f t="shared" si="0"/>
        <v>Other   Min</v>
      </c>
      <c r="I6" s="84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6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</row>
    <row r="7" spans="1:35">
      <c r="A7" s="59" t="s">
        <v>92</v>
      </c>
      <c r="B7" s="60" t="s">
        <v>93</v>
      </c>
      <c r="C7" s="61" t="s">
        <v>94</v>
      </c>
      <c r="D7" s="62" t="s">
        <v>27</v>
      </c>
      <c r="E7" s="63" t="str">
        <f>A7&amp;" "&amp;B7&amp;" "&amp;C7</f>
        <v>APWA Class A Pit Run</v>
      </c>
      <c r="F7" s="63" t="str">
        <f t="shared" si="0"/>
        <v>APWA Class A Pit Run Max</v>
      </c>
      <c r="G7" s="89">
        <v>1</v>
      </c>
      <c r="H7" s="89"/>
      <c r="I7" s="86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341">
        <v>0.75</v>
      </c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75">
        <v>0.05</v>
      </c>
    </row>
    <row r="8" spans="1:35">
      <c r="A8" s="65" t="s">
        <v>92</v>
      </c>
      <c r="B8" s="66" t="s">
        <v>93</v>
      </c>
      <c r="C8" s="67" t="s">
        <v>94</v>
      </c>
      <c r="D8" s="68" t="s">
        <v>26</v>
      </c>
      <c r="E8" s="69"/>
      <c r="F8" s="70" t="str">
        <f t="shared" si="0"/>
        <v>APWA Class A Pit Run Min</v>
      </c>
      <c r="G8" s="90">
        <v>1</v>
      </c>
      <c r="H8" s="90"/>
      <c r="I8" s="87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342">
        <v>0.25</v>
      </c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6">
        <v>0</v>
      </c>
    </row>
    <row r="9" spans="1:35">
      <c r="A9" s="72" t="s">
        <v>92</v>
      </c>
      <c r="B9" s="73" t="s">
        <v>95</v>
      </c>
      <c r="C9" s="74" t="s">
        <v>94</v>
      </c>
      <c r="D9" s="62" t="s">
        <v>27</v>
      </c>
      <c r="E9" s="63" t="str">
        <f>A9&amp;" "&amp;B9&amp;" "&amp;C9</f>
        <v>APWA Class B Pit Run</v>
      </c>
      <c r="F9" s="63" t="str">
        <f t="shared" si="0"/>
        <v>APWA Class B Pit Run Max</v>
      </c>
      <c r="G9" s="88">
        <v>1</v>
      </c>
      <c r="I9" s="84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6">
        <v>0.75</v>
      </c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1">
        <v>0.1</v>
      </c>
    </row>
    <row r="10" spans="1:35">
      <c r="A10" s="72" t="s">
        <v>92</v>
      </c>
      <c r="B10" s="73" t="s">
        <v>95</v>
      </c>
      <c r="C10" s="74" t="s">
        <v>94</v>
      </c>
      <c r="D10" s="68" t="s">
        <v>26</v>
      </c>
      <c r="E10" s="69"/>
      <c r="F10" s="70" t="str">
        <f t="shared" si="0"/>
        <v>APWA Class B Pit Run Min</v>
      </c>
      <c r="G10" s="88">
        <v>1</v>
      </c>
      <c r="I10" s="84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6">
        <v>0.25</v>
      </c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1">
        <v>0</v>
      </c>
    </row>
    <row r="11" spans="1:35">
      <c r="A11" s="59" t="s">
        <v>96</v>
      </c>
      <c r="B11" s="60" t="s">
        <v>97</v>
      </c>
      <c r="C11" s="61" t="s">
        <v>98</v>
      </c>
      <c r="D11" s="62" t="s">
        <v>27</v>
      </c>
      <c r="E11" s="63" t="str">
        <f>A11&amp;" "&amp;B11&amp;" "&amp;C11</f>
        <v>ASTM C-33 Sand</v>
      </c>
      <c r="F11" s="63" t="str">
        <f t="shared" si="0"/>
        <v>ASTM C-33 Sand Max</v>
      </c>
      <c r="G11" s="89"/>
      <c r="H11" s="89"/>
      <c r="I11" s="86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>
        <v>1</v>
      </c>
      <c r="U11" s="341"/>
      <c r="V11" s="64">
        <v>1</v>
      </c>
      <c r="W11" s="64">
        <v>1</v>
      </c>
      <c r="X11" s="64"/>
      <c r="Y11" s="64">
        <v>0.85</v>
      </c>
      <c r="Z11" s="64"/>
      <c r="AA11" s="64">
        <v>0.6</v>
      </c>
      <c r="AB11" s="64"/>
      <c r="AC11" s="64">
        <v>0.3</v>
      </c>
      <c r="AD11" s="64"/>
      <c r="AE11" s="64"/>
      <c r="AF11" s="64">
        <v>0.1</v>
      </c>
      <c r="AG11" s="64"/>
      <c r="AH11" s="64"/>
      <c r="AI11" s="75">
        <v>0.03</v>
      </c>
    </row>
    <row r="12" spans="1:35">
      <c r="A12" s="65" t="s">
        <v>96</v>
      </c>
      <c r="B12" s="66" t="s">
        <v>97</v>
      </c>
      <c r="C12" s="67" t="s">
        <v>98</v>
      </c>
      <c r="D12" s="68" t="s">
        <v>26</v>
      </c>
      <c r="E12" s="69"/>
      <c r="F12" s="70" t="str">
        <f t="shared" si="0"/>
        <v>ASTM C-33 Sand Min</v>
      </c>
      <c r="G12" s="90"/>
      <c r="H12" s="90"/>
      <c r="I12" s="87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>
        <v>1</v>
      </c>
      <c r="U12" s="342"/>
      <c r="V12" s="71">
        <v>0.95</v>
      </c>
      <c r="W12" s="71">
        <v>0.8</v>
      </c>
      <c r="X12" s="71"/>
      <c r="Y12" s="71">
        <v>0.5</v>
      </c>
      <c r="Z12" s="71"/>
      <c r="AA12" s="71">
        <v>0.25</v>
      </c>
      <c r="AB12" s="71"/>
      <c r="AC12" s="71">
        <v>0.1</v>
      </c>
      <c r="AD12" s="71"/>
      <c r="AE12" s="71"/>
      <c r="AF12" s="71">
        <v>0.02</v>
      </c>
      <c r="AG12" s="71"/>
      <c r="AH12" s="71"/>
      <c r="AI12" s="76">
        <v>0</v>
      </c>
    </row>
    <row r="13" spans="1:35">
      <c r="A13" s="59" t="s">
        <v>96</v>
      </c>
      <c r="B13" s="60" t="s">
        <v>97</v>
      </c>
      <c r="C13" s="61" t="s">
        <v>99</v>
      </c>
      <c r="D13" s="62" t="s">
        <v>27</v>
      </c>
      <c r="E13" s="63" t="str">
        <f>A13&amp;" "&amp;B13&amp;" "&amp;C13</f>
        <v>ASTM C-33 Size #1</v>
      </c>
      <c r="F13" s="63" t="str">
        <f t="shared" si="0"/>
        <v>ASTM C-33 Size #1 Max</v>
      </c>
      <c r="G13" s="89"/>
      <c r="H13" s="89">
        <v>1</v>
      </c>
      <c r="I13" s="86"/>
      <c r="J13" s="64">
        <v>0.6</v>
      </c>
      <c r="K13" s="64"/>
      <c r="L13" s="64"/>
      <c r="M13" s="64">
        <v>0.15</v>
      </c>
      <c r="N13" s="64"/>
      <c r="O13" s="64"/>
      <c r="P13" s="64"/>
      <c r="Q13" s="64">
        <v>0.05</v>
      </c>
      <c r="R13" s="64"/>
      <c r="S13" s="64"/>
      <c r="T13" s="64"/>
      <c r="U13" s="341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75"/>
    </row>
    <row r="14" spans="1:35">
      <c r="A14" s="65" t="s">
        <v>96</v>
      </c>
      <c r="B14" s="66" t="s">
        <v>97</v>
      </c>
      <c r="C14" s="67" t="s">
        <v>99</v>
      </c>
      <c r="D14" s="68" t="s">
        <v>26</v>
      </c>
      <c r="E14" s="69"/>
      <c r="F14" s="70" t="str">
        <f t="shared" si="0"/>
        <v>ASTM C-33 Size #1 Min</v>
      </c>
      <c r="G14" s="90"/>
      <c r="H14" s="90">
        <v>1</v>
      </c>
      <c r="I14" s="87"/>
      <c r="J14" s="71">
        <v>0.25</v>
      </c>
      <c r="K14" s="71"/>
      <c r="L14" s="71"/>
      <c r="M14" s="71">
        <v>0</v>
      </c>
      <c r="N14" s="71"/>
      <c r="O14" s="71"/>
      <c r="P14" s="71"/>
      <c r="Q14" s="71">
        <v>0</v>
      </c>
      <c r="R14" s="71"/>
      <c r="S14" s="71"/>
      <c r="T14" s="71"/>
      <c r="U14" s="342"/>
      <c r="V14" s="71"/>
      <c r="W14" s="71"/>
      <c r="X14" s="71"/>
      <c r="Y14" s="71"/>
      <c r="Z14" s="71"/>
      <c r="AA14" s="71"/>
      <c r="AB14" s="71"/>
      <c r="AC14" s="71"/>
      <c r="AD14" s="71"/>
      <c r="AE14" s="71"/>
      <c r="AF14" s="71"/>
      <c r="AG14" s="71"/>
      <c r="AH14" s="71"/>
      <c r="AI14" s="76"/>
    </row>
    <row r="15" spans="1:35">
      <c r="A15" s="59" t="s">
        <v>96</v>
      </c>
      <c r="B15" s="60" t="s">
        <v>97</v>
      </c>
      <c r="C15" s="61" t="s">
        <v>100</v>
      </c>
      <c r="D15" s="62" t="s">
        <v>27</v>
      </c>
      <c r="E15" s="63" t="str">
        <f>A15&amp;" "&amp;B15&amp;" "&amp;C15</f>
        <v>ASTM C-33 Size #2</v>
      </c>
      <c r="F15" s="63" t="str">
        <f t="shared" si="0"/>
        <v>ASTM C-33 Size #2 Max</v>
      </c>
      <c r="G15" s="89"/>
      <c r="H15" s="89"/>
      <c r="I15" s="86">
        <v>1</v>
      </c>
      <c r="J15" s="64">
        <v>1</v>
      </c>
      <c r="K15" s="64">
        <v>0.7</v>
      </c>
      <c r="L15" s="64"/>
      <c r="M15" s="64">
        <v>0.15</v>
      </c>
      <c r="N15" s="64"/>
      <c r="O15" s="64"/>
      <c r="P15" s="64"/>
      <c r="Q15" s="64">
        <v>0.05</v>
      </c>
      <c r="R15" s="64"/>
      <c r="S15" s="64"/>
      <c r="T15" s="64"/>
      <c r="U15" s="341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75"/>
    </row>
    <row r="16" spans="1:35">
      <c r="A16" s="65" t="s">
        <v>96</v>
      </c>
      <c r="B16" s="66" t="s">
        <v>97</v>
      </c>
      <c r="C16" s="67" t="s">
        <v>100</v>
      </c>
      <c r="D16" s="68" t="s">
        <v>26</v>
      </c>
      <c r="E16" s="69"/>
      <c r="F16" s="70" t="str">
        <f t="shared" si="0"/>
        <v>ASTM C-33 Size #2 Min</v>
      </c>
      <c r="G16" s="90"/>
      <c r="H16" s="90"/>
      <c r="I16" s="87">
        <v>1</v>
      </c>
      <c r="J16" s="71">
        <v>0.9</v>
      </c>
      <c r="K16" s="71">
        <v>0.35</v>
      </c>
      <c r="L16" s="71"/>
      <c r="M16" s="71">
        <v>0</v>
      </c>
      <c r="N16" s="71"/>
      <c r="O16" s="71"/>
      <c r="P16" s="71"/>
      <c r="Q16" s="71">
        <v>0</v>
      </c>
      <c r="R16" s="71"/>
      <c r="S16" s="71"/>
      <c r="T16" s="71"/>
      <c r="U16" s="342"/>
      <c r="V16" s="71"/>
      <c r="W16" s="71"/>
      <c r="X16" s="71"/>
      <c r="Y16" s="71"/>
      <c r="Z16" s="71"/>
      <c r="AA16" s="71"/>
      <c r="AB16" s="71"/>
      <c r="AC16" s="71"/>
      <c r="AD16" s="71"/>
      <c r="AE16" s="71"/>
      <c r="AF16" s="71"/>
      <c r="AG16" s="71"/>
      <c r="AH16" s="71"/>
      <c r="AI16" s="76"/>
    </row>
    <row r="17" spans="1:35">
      <c r="A17" s="59" t="s">
        <v>96</v>
      </c>
      <c r="B17" s="60" t="s">
        <v>97</v>
      </c>
      <c r="C17" s="61" t="s">
        <v>101</v>
      </c>
      <c r="D17" s="62" t="s">
        <v>27</v>
      </c>
      <c r="E17" s="63" t="str">
        <f>A17&amp;" "&amp;B17&amp;" "&amp;C17</f>
        <v>ASTM C-33 Size #3</v>
      </c>
      <c r="F17" s="63" t="str">
        <f t="shared" si="0"/>
        <v>ASTM C-33 Size #3 Max</v>
      </c>
      <c r="G17" s="89"/>
      <c r="H17" s="89"/>
      <c r="I17" s="86"/>
      <c r="J17" s="64">
        <v>1</v>
      </c>
      <c r="K17" s="64">
        <v>1</v>
      </c>
      <c r="L17" s="64"/>
      <c r="M17" s="64">
        <v>0.7</v>
      </c>
      <c r="N17" s="64"/>
      <c r="O17" s="64">
        <v>0.15</v>
      </c>
      <c r="P17" s="64"/>
      <c r="Q17" s="64"/>
      <c r="R17" s="64"/>
      <c r="S17" s="64">
        <v>0.05</v>
      </c>
      <c r="T17" s="64"/>
      <c r="U17" s="341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75"/>
    </row>
    <row r="18" spans="1:35">
      <c r="A18" s="65" t="s">
        <v>96</v>
      </c>
      <c r="B18" s="66" t="s">
        <v>97</v>
      </c>
      <c r="C18" s="67" t="s">
        <v>101</v>
      </c>
      <c r="D18" s="68" t="s">
        <v>26</v>
      </c>
      <c r="E18" s="69"/>
      <c r="F18" s="70" t="str">
        <f t="shared" si="0"/>
        <v>ASTM C-33 Size #3 Min</v>
      </c>
      <c r="G18" s="90"/>
      <c r="H18" s="90"/>
      <c r="I18" s="87"/>
      <c r="J18" s="71">
        <v>1</v>
      </c>
      <c r="K18" s="71">
        <v>0.9</v>
      </c>
      <c r="L18" s="71"/>
      <c r="M18" s="71">
        <v>0.35</v>
      </c>
      <c r="N18" s="71"/>
      <c r="O18" s="71">
        <v>0</v>
      </c>
      <c r="P18" s="71"/>
      <c r="Q18" s="71"/>
      <c r="R18" s="71"/>
      <c r="S18" s="71">
        <v>0</v>
      </c>
      <c r="T18" s="71"/>
      <c r="U18" s="342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6"/>
    </row>
    <row r="19" spans="1:35">
      <c r="A19" s="59" t="s">
        <v>96</v>
      </c>
      <c r="B19" s="60" t="s">
        <v>97</v>
      </c>
      <c r="C19" s="61" t="s">
        <v>102</v>
      </c>
      <c r="D19" s="62" t="s">
        <v>27</v>
      </c>
      <c r="E19" s="63" t="str">
        <f>A19&amp;" "&amp;B19&amp;" "&amp;C19</f>
        <v>ASTM C-33 Size #357</v>
      </c>
      <c r="F19" s="63" t="str">
        <f t="shared" si="0"/>
        <v>ASTM C-33 Size #357 Max</v>
      </c>
      <c r="G19" s="89"/>
      <c r="H19" s="89"/>
      <c r="I19" s="86"/>
      <c r="J19" s="64">
        <v>1</v>
      </c>
      <c r="K19" s="64">
        <v>1</v>
      </c>
      <c r="L19" s="64"/>
      <c r="M19" s="64"/>
      <c r="N19" s="64"/>
      <c r="O19" s="64">
        <v>0.7</v>
      </c>
      <c r="P19" s="64"/>
      <c r="Q19" s="64"/>
      <c r="R19" s="64"/>
      <c r="S19" s="64">
        <v>0.3</v>
      </c>
      <c r="T19" s="64"/>
      <c r="U19" s="341"/>
      <c r="V19" s="64">
        <v>0.05</v>
      </c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75"/>
    </row>
    <row r="20" spans="1:35">
      <c r="A20" s="65" t="s">
        <v>96</v>
      </c>
      <c r="B20" s="66" t="s">
        <v>97</v>
      </c>
      <c r="C20" s="67" t="s">
        <v>102</v>
      </c>
      <c r="D20" s="68" t="s">
        <v>26</v>
      </c>
      <c r="E20" s="69"/>
      <c r="F20" s="70" t="str">
        <f t="shared" si="0"/>
        <v>ASTM C-33 Size #357 Min</v>
      </c>
      <c r="G20" s="90"/>
      <c r="H20" s="90"/>
      <c r="I20" s="87"/>
      <c r="J20" s="71">
        <v>1</v>
      </c>
      <c r="K20" s="71">
        <v>0.95</v>
      </c>
      <c r="L20" s="71"/>
      <c r="M20" s="71"/>
      <c r="N20" s="71"/>
      <c r="O20" s="71">
        <v>0.35</v>
      </c>
      <c r="P20" s="71"/>
      <c r="Q20" s="71"/>
      <c r="R20" s="71"/>
      <c r="S20" s="71">
        <v>0.1</v>
      </c>
      <c r="T20" s="71"/>
      <c r="U20" s="342"/>
      <c r="V20" s="71">
        <v>0</v>
      </c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1"/>
      <c r="AI20" s="76"/>
    </row>
    <row r="21" spans="1:35">
      <c r="A21" s="59" t="s">
        <v>96</v>
      </c>
      <c r="B21" s="60" t="s">
        <v>97</v>
      </c>
      <c r="C21" s="61" t="s">
        <v>103</v>
      </c>
      <c r="D21" s="62" t="s">
        <v>27</v>
      </c>
      <c r="E21" s="63" t="str">
        <f>A21&amp;" "&amp;B21&amp;" "&amp;C21</f>
        <v>ASTM C-33 Size #4</v>
      </c>
      <c r="F21" s="63" t="str">
        <f t="shared" si="0"/>
        <v>ASTM C-33 Size #4 Max</v>
      </c>
      <c r="G21" s="89"/>
      <c r="H21" s="89"/>
      <c r="I21" s="86"/>
      <c r="J21" s="64"/>
      <c r="K21" s="64">
        <v>1</v>
      </c>
      <c r="L21" s="64"/>
      <c r="M21" s="64">
        <v>1</v>
      </c>
      <c r="N21" s="64"/>
      <c r="O21" s="64">
        <v>0.55000000000000004</v>
      </c>
      <c r="P21" s="64"/>
      <c r="Q21" s="64">
        <v>0.15</v>
      </c>
      <c r="R21" s="64"/>
      <c r="S21" s="64"/>
      <c r="T21" s="64">
        <v>0.05</v>
      </c>
      <c r="U21" s="341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75"/>
    </row>
    <row r="22" spans="1:35">
      <c r="A22" s="65" t="s">
        <v>96</v>
      </c>
      <c r="B22" s="66" t="s">
        <v>97</v>
      </c>
      <c r="C22" s="67" t="s">
        <v>103</v>
      </c>
      <c r="D22" s="68" t="s">
        <v>26</v>
      </c>
      <c r="E22" s="69"/>
      <c r="F22" s="70" t="str">
        <f t="shared" si="0"/>
        <v>ASTM C-33 Size #4 Min</v>
      </c>
      <c r="G22" s="90"/>
      <c r="H22" s="90"/>
      <c r="I22" s="87"/>
      <c r="J22" s="71"/>
      <c r="K22" s="71">
        <v>1</v>
      </c>
      <c r="L22" s="71"/>
      <c r="M22" s="71">
        <v>0.9</v>
      </c>
      <c r="N22" s="71"/>
      <c r="O22" s="71">
        <v>0.2</v>
      </c>
      <c r="P22" s="71"/>
      <c r="Q22" s="71">
        <v>0</v>
      </c>
      <c r="R22" s="71"/>
      <c r="S22" s="71"/>
      <c r="T22" s="71">
        <v>0</v>
      </c>
      <c r="U22" s="342"/>
      <c r="V22" s="71"/>
      <c r="W22" s="71"/>
      <c r="X22" s="71"/>
      <c r="Y22" s="71"/>
      <c r="Z22" s="71"/>
      <c r="AA22" s="71"/>
      <c r="AB22" s="71"/>
      <c r="AC22" s="71"/>
      <c r="AD22" s="71"/>
      <c r="AE22" s="71"/>
      <c r="AF22" s="71"/>
      <c r="AG22" s="71"/>
      <c r="AH22" s="71"/>
      <c r="AI22" s="76"/>
    </row>
    <row r="23" spans="1:35">
      <c r="A23" s="59" t="s">
        <v>96</v>
      </c>
      <c r="B23" s="60" t="s">
        <v>97</v>
      </c>
      <c r="C23" s="61" t="s">
        <v>104</v>
      </c>
      <c r="D23" s="62" t="s">
        <v>27</v>
      </c>
      <c r="E23" s="63" t="str">
        <f>A23&amp;" "&amp;B23&amp;" "&amp;C23</f>
        <v>ASTM C-33 Size #467</v>
      </c>
      <c r="F23" s="63" t="str">
        <f t="shared" si="0"/>
        <v>ASTM C-33 Size #467 Max</v>
      </c>
      <c r="G23" s="89"/>
      <c r="H23" s="89"/>
      <c r="I23" s="86"/>
      <c r="J23" s="64"/>
      <c r="K23" s="64">
        <v>1</v>
      </c>
      <c r="L23" s="64"/>
      <c r="M23" s="64">
        <v>1</v>
      </c>
      <c r="N23" s="64"/>
      <c r="O23" s="64"/>
      <c r="P23" s="64"/>
      <c r="Q23" s="64">
        <v>0.7</v>
      </c>
      <c r="R23" s="64"/>
      <c r="S23" s="64"/>
      <c r="T23" s="64">
        <v>0.3</v>
      </c>
      <c r="U23" s="341"/>
      <c r="V23" s="64">
        <v>0.05</v>
      </c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75"/>
    </row>
    <row r="24" spans="1:35">
      <c r="A24" s="65" t="s">
        <v>96</v>
      </c>
      <c r="B24" s="66" t="s">
        <v>97</v>
      </c>
      <c r="C24" s="67" t="s">
        <v>104</v>
      </c>
      <c r="D24" s="68" t="s">
        <v>26</v>
      </c>
      <c r="E24" s="69"/>
      <c r="F24" s="70" t="str">
        <f t="shared" si="0"/>
        <v>ASTM C-33 Size #467 Min</v>
      </c>
      <c r="G24" s="90"/>
      <c r="H24" s="90"/>
      <c r="I24" s="87"/>
      <c r="J24" s="71"/>
      <c r="K24" s="71">
        <v>1</v>
      </c>
      <c r="L24" s="71"/>
      <c r="M24" s="71">
        <v>0.95</v>
      </c>
      <c r="N24" s="71"/>
      <c r="O24" s="71"/>
      <c r="P24" s="71"/>
      <c r="Q24" s="71">
        <v>0.35</v>
      </c>
      <c r="R24" s="71"/>
      <c r="S24" s="71"/>
      <c r="T24" s="71">
        <v>0.1</v>
      </c>
      <c r="U24" s="342"/>
      <c r="V24" s="71">
        <v>0</v>
      </c>
      <c r="W24" s="71"/>
      <c r="X24" s="71"/>
      <c r="Y24" s="71"/>
      <c r="Z24" s="71"/>
      <c r="AA24" s="71"/>
      <c r="AB24" s="71"/>
      <c r="AC24" s="71"/>
      <c r="AD24" s="71"/>
      <c r="AE24" s="71"/>
      <c r="AF24" s="71"/>
      <c r="AG24" s="71"/>
      <c r="AH24" s="71"/>
      <c r="AI24" s="76"/>
    </row>
    <row r="25" spans="1:35">
      <c r="A25" s="59" t="s">
        <v>96</v>
      </c>
      <c r="B25" s="60" t="s">
        <v>97</v>
      </c>
      <c r="C25" s="61" t="s">
        <v>105</v>
      </c>
      <c r="D25" s="62" t="s">
        <v>27</v>
      </c>
      <c r="E25" s="63" t="str">
        <f>A25&amp;" "&amp;B25&amp;" "&amp;C25</f>
        <v>ASTM C-33 Size #5</v>
      </c>
      <c r="F25" s="63" t="str">
        <f t="shared" si="0"/>
        <v>ASTM C-33 Size #5 Max</v>
      </c>
      <c r="G25" s="89"/>
      <c r="H25" s="89"/>
      <c r="I25" s="86"/>
      <c r="J25" s="64"/>
      <c r="K25" s="64"/>
      <c r="L25" s="64"/>
      <c r="M25" s="64">
        <v>1</v>
      </c>
      <c r="N25" s="64"/>
      <c r="O25" s="64">
        <v>1</v>
      </c>
      <c r="P25" s="64"/>
      <c r="Q25" s="64">
        <v>0.55000000000000004</v>
      </c>
      <c r="R25" s="64"/>
      <c r="S25" s="64">
        <v>0.1</v>
      </c>
      <c r="T25" s="64">
        <v>0.05</v>
      </c>
      <c r="U25" s="341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75"/>
    </row>
    <row r="26" spans="1:35">
      <c r="A26" s="65" t="s">
        <v>96</v>
      </c>
      <c r="B26" s="66" t="s">
        <v>97</v>
      </c>
      <c r="C26" s="67" t="s">
        <v>105</v>
      </c>
      <c r="D26" s="68" t="s">
        <v>26</v>
      </c>
      <c r="E26" s="69"/>
      <c r="F26" s="70" t="str">
        <f t="shared" si="0"/>
        <v>ASTM C-33 Size #5 Min</v>
      </c>
      <c r="G26" s="90"/>
      <c r="H26" s="90"/>
      <c r="I26" s="87"/>
      <c r="J26" s="71"/>
      <c r="K26" s="71"/>
      <c r="L26" s="71"/>
      <c r="M26" s="71">
        <v>1</v>
      </c>
      <c r="N26" s="71"/>
      <c r="O26" s="71">
        <v>0.9</v>
      </c>
      <c r="P26" s="71"/>
      <c r="Q26" s="71">
        <v>0.2</v>
      </c>
      <c r="R26" s="71"/>
      <c r="S26" s="71">
        <v>0</v>
      </c>
      <c r="T26" s="71">
        <v>0</v>
      </c>
      <c r="U26" s="342"/>
      <c r="V26" s="71"/>
      <c r="W26" s="71"/>
      <c r="X26" s="71"/>
      <c r="Y26" s="71"/>
      <c r="Z26" s="71"/>
      <c r="AA26" s="71"/>
      <c r="AB26" s="71"/>
      <c r="AC26" s="71"/>
      <c r="AD26" s="71"/>
      <c r="AE26" s="71"/>
      <c r="AF26" s="71"/>
      <c r="AG26" s="71"/>
      <c r="AH26" s="71"/>
      <c r="AI26" s="76"/>
    </row>
    <row r="27" spans="1:35">
      <c r="A27" s="59" t="s">
        <v>96</v>
      </c>
      <c r="B27" s="60" t="s">
        <v>97</v>
      </c>
      <c r="C27" s="61" t="s">
        <v>106</v>
      </c>
      <c r="D27" s="62" t="s">
        <v>27</v>
      </c>
      <c r="E27" s="63" t="str">
        <f>A27&amp;" "&amp;B27&amp;" "&amp;C27</f>
        <v>ASTM C-33 Size #56</v>
      </c>
      <c r="F27" s="63" t="str">
        <f t="shared" si="0"/>
        <v>ASTM C-33 Size #56 Max</v>
      </c>
      <c r="G27" s="89"/>
      <c r="H27" s="89"/>
      <c r="I27" s="86"/>
      <c r="J27" s="64"/>
      <c r="K27" s="64"/>
      <c r="L27" s="64"/>
      <c r="M27" s="64">
        <v>1</v>
      </c>
      <c r="N27" s="64"/>
      <c r="O27" s="64">
        <v>1</v>
      </c>
      <c r="P27" s="64"/>
      <c r="Q27" s="64">
        <v>0.85</v>
      </c>
      <c r="R27" s="64"/>
      <c r="S27" s="64">
        <v>0.4</v>
      </c>
      <c r="T27" s="64">
        <v>0.15</v>
      </c>
      <c r="U27" s="341"/>
      <c r="V27" s="64">
        <v>0.05</v>
      </c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75"/>
    </row>
    <row r="28" spans="1:35">
      <c r="A28" s="65" t="s">
        <v>96</v>
      </c>
      <c r="B28" s="66" t="s">
        <v>97</v>
      </c>
      <c r="C28" s="67" t="s">
        <v>106</v>
      </c>
      <c r="D28" s="68" t="s">
        <v>26</v>
      </c>
      <c r="E28" s="69"/>
      <c r="F28" s="70" t="str">
        <f t="shared" si="0"/>
        <v>ASTM C-33 Size #56 Min</v>
      </c>
      <c r="G28" s="90"/>
      <c r="H28" s="90"/>
      <c r="I28" s="87"/>
      <c r="J28" s="71"/>
      <c r="K28" s="71"/>
      <c r="L28" s="71"/>
      <c r="M28" s="71">
        <v>1</v>
      </c>
      <c r="N28" s="71"/>
      <c r="O28" s="71">
        <v>0.9</v>
      </c>
      <c r="P28" s="71"/>
      <c r="Q28" s="71">
        <v>0.4</v>
      </c>
      <c r="R28" s="71"/>
      <c r="S28" s="71">
        <v>0.1</v>
      </c>
      <c r="T28" s="71">
        <v>0</v>
      </c>
      <c r="U28" s="342"/>
      <c r="V28" s="71">
        <v>0</v>
      </c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6"/>
    </row>
    <row r="29" spans="1:35">
      <c r="A29" s="59" t="s">
        <v>96</v>
      </c>
      <c r="B29" s="60" t="s">
        <v>97</v>
      </c>
      <c r="C29" s="61" t="s">
        <v>107</v>
      </c>
      <c r="D29" s="62" t="s">
        <v>27</v>
      </c>
      <c r="E29" s="63" t="str">
        <f>A29&amp;" "&amp;B29&amp;" "&amp;C29</f>
        <v>ASTM C-33 Size #57</v>
      </c>
      <c r="F29" s="63" t="str">
        <f t="shared" si="0"/>
        <v>ASTM C-33 Size #57 Max</v>
      </c>
      <c r="G29" s="89"/>
      <c r="H29" s="89"/>
      <c r="I29" s="86"/>
      <c r="J29" s="64"/>
      <c r="K29" s="64"/>
      <c r="L29" s="64"/>
      <c r="M29" s="64">
        <v>1</v>
      </c>
      <c r="N29" s="64"/>
      <c r="O29" s="64">
        <v>1</v>
      </c>
      <c r="P29" s="64"/>
      <c r="Q29" s="64"/>
      <c r="R29" s="64"/>
      <c r="S29" s="64">
        <v>0.6</v>
      </c>
      <c r="T29" s="64"/>
      <c r="U29" s="341"/>
      <c r="V29" s="64">
        <v>0.1</v>
      </c>
      <c r="W29" s="64">
        <v>0.05</v>
      </c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75"/>
    </row>
    <row r="30" spans="1:35">
      <c r="A30" s="65" t="s">
        <v>96</v>
      </c>
      <c r="B30" s="66" t="s">
        <v>97</v>
      </c>
      <c r="C30" s="67" t="s">
        <v>107</v>
      </c>
      <c r="D30" s="68" t="s">
        <v>26</v>
      </c>
      <c r="E30" s="69"/>
      <c r="F30" s="70" t="str">
        <f t="shared" si="0"/>
        <v>ASTM C-33 Size #57 Min</v>
      </c>
      <c r="G30" s="90"/>
      <c r="H30" s="90"/>
      <c r="I30" s="87"/>
      <c r="J30" s="71"/>
      <c r="K30" s="71"/>
      <c r="L30" s="71"/>
      <c r="M30" s="71">
        <v>1</v>
      </c>
      <c r="N30" s="71"/>
      <c r="O30" s="71">
        <v>0.95</v>
      </c>
      <c r="P30" s="71"/>
      <c r="Q30" s="71"/>
      <c r="R30" s="71"/>
      <c r="S30" s="71">
        <v>0.25</v>
      </c>
      <c r="T30" s="71"/>
      <c r="U30" s="342"/>
      <c r="V30" s="71">
        <v>0</v>
      </c>
      <c r="W30" s="71">
        <v>0</v>
      </c>
      <c r="X30" s="71"/>
      <c r="Y30" s="71"/>
      <c r="Z30" s="71"/>
      <c r="AA30" s="71"/>
      <c r="AB30" s="71"/>
      <c r="AC30" s="71"/>
      <c r="AD30" s="71"/>
      <c r="AE30" s="71"/>
      <c r="AF30" s="71"/>
      <c r="AG30" s="71"/>
      <c r="AH30" s="71"/>
      <c r="AI30" s="76"/>
    </row>
    <row r="31" spans="1:35">
      <c r="A31" s="59" t="s">
        <v>96</v>
      </c>
      <c r="B31" s="60" t="s">
        <v>97</v>
      </c>
      <c r="C31" s="61" t="s">
        <v>108</v>
      </c>
      <c r="D31" s="62" t="s">
        <v>27</v>
      </c>
      <c r="E31" s="63" t="str">
        <f>A31&amp;" "&amp;B31&amp;" "&amp;C31</f>
        <v>ASTM C-33 Size #6</v>
      </c>
      <c r="F31" s="63" t="str">
        <f t="shared" si="0"/>
        <v>ASTM C-33 Size #6 Max</v>
      </c>
      <c r="G31" s="89"/>
      <c r="H31" s="89"/>
      <c r="I31" s="86"/>
      <c r="J31" s="64"/>
      <c r="K31" s="64"/>
      <c r="L31" s="64"/>
      <c r="M31" s="64"/>
      <c r="N31" s="64"/>
      <c r="O31" s="64">
        <v>1</v>
      </c>
      <c r="P31" s="64"/>
      <c r="Q31" s="64">
        <v>1</v>
      </c>
      <c r="R31" s="64"/>
      <c r="S31" s="64">
        <v>0.55000000000000004</v>
      </c>
      <c r="T31" s="64">
        <v>0.15</v>
      </c>
      <c r="U31" s="341"/>
      <c r="V31" s="64">
        <v>0.05</v>
      </c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75"/>
    </row>
    <row r="32" spans="1:35">
      <c r="A32" s="65" t="s">
        <v>96</v>
      </c>
      <c r="B32" s="66" t="s">
        <v>97</v>
      </c>
      <c r="C32" s="67" t="s">
        <v>108</v>
      </c>
      <c r="D32" s="68" t="s">
        <v>26</v>
      </c>
      <c r="E32" s="69"/>
      <c r="F32" s="70" t="str">
        <f t="shared" si="0"/>
        <v>ASTM C-33 Size #6 Min</v>
      </c>
      <c r="G32" s="90"/>
      <c r="H32" s="90"/>
      <c r="I32" s="87"/>
      <c r="J32" s="71"/>
      <c r="K32" s="71"/>
      <c r="L32" s="71"/>
      <c r="M32" s="71"/>
      <c r="N32" s="71"/>
      <c r="O32" s="71">
        <v>1</v>
      </c>
      <c r="P32" s="71"/>
      <c r="Q32" s="71">
        <v>0.9</v>
      </c>
      <c r="R32" s="71"/>
      <c r="S32" s="71">
        <v>0.2</v>
      </c>
      <c r="T32" s="71">
        <v>0</v>
      </c>
      <c r="U32" s="342"/>
      <c r="V32" s="71">
        <v>0</v>
      </c>
      <c r="W32" s="71"/>
      <c r="X32" s="71"/>
      <c r="Y32" s="71"/>
      <c r="Z32" s="71"/>
      <c r="AA32" s="71"/>
      <c r="AB32" s="71"/>
      <c r="AC32" s="71"/>
      <c r="AD32" s="71"/>
      <c r="AE32" s="71"/>
      <c r="AF32" s="71"/>
      <c r="AG32" s="71"/>
      <c r="AH32" s="71"/>
      <c r="AI32" s="76"/>
    </row>
    <row r="33" spans="1:35">
      <c r="A33" s="59" t="s">
        <v>96</v>
      </c>
      <c r="B33" s="60" t="s">
        <v>97</v>
      </c>
      <c r="C33" s="61" t="s">
        <v>109</v>
      </c>
      <c r="D33" s="62" t="s">
        <v>27</v>
      </c>
      <c r="E33" s="63" t="str">
        <f>A33&amp;" "&amp;B33&amp;" "&amp;C33</f>
        <v>ASTM C-33 Size #67</v>
      </c>
      <c r="F33" s="63" t="str">
        <f t="shared" si="0"/>
        <v>ASTM C-33 Size #67 Max</v>
      </c>
      <c r="G33" s="89"/>
      <c r="H33" s="89"/>
      <c r="I33" s="86"/>
      <c r="J33" s="64"/>
      <c r="K33" s="64"/>
      <c r="L33" s="64"/>
      <c r="M33" s="64"/>
      <c r="N33" s="64"/>
      <c r="O33" s="64">
        <v>1</v>
      </c>
      <c r="P33" s="64"/>
      <c r="Q33" s="64">
        <v>1</v>
      </c>
      <c r="R33" s="64"/>
      <c r="S33" s="64"/>
      <c r="T33" s="64">
        <v>0.55000000000000004</v>
      </c>
      <c r="U33" s="341"/>
      <c r="V33" s="64">
        <v>0.1</v>
      </c>
      <c r="W33" s="64">
        <v>0.05</v>
      </c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75"/>
    </row>
    <row r="34" spans="1:35">
      <c r="A34" s="65" t="s">
        <v>96</v>
      </c>
      <c r="B34" s="66" t="s">
        <v>97</v>
      </c>
      <c r="C34" s="67" t="s">
        <v>109</v>
      </c>
      <c r="D34" s="68" t="s">
        <v>26</v>
      </c>
      <c r="E34" s="69"/>
      <c r="F34" s="70" t="str">
        <f t="shared" si="0"/>
        <v>ASTM C-33 Size #67 Min</v>
      </c>
      <c r="G34" s="90"/>
      <c r="H34" s="90"/>
      <c r="I34" s="87"/>
      <c r="J34" s="71"/>
      <c r="K34" s="71"/>
      <c r="L34" s="71"/>
      <c r="M34" s="71"/>
      <c r="N34" s="71"/>
      <c r="O34" s="71">
        <v>1</v>
      </c>
      <c r="P34" s="71"/>
      <c r="Q34" s="71">
        <v>0.9</v>
      </c>
      <c r="R34" s="71"/>
      <c r="S34" s="71"/>
      <c r="T34" s="71">
        <v>0.2</v>
      </c>
      <c r="U34" s="342"/>
      <c r="V34" s="71">
        <v>0</v>
      </c>
      <c r="W34" s="71">
        <v>0</v>
      </c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6"/>
    </row>
    <row r="35" spans="1:35">
      <c r="A35" s="59" t="s">
        <v>96</v>
      </c>
      <c r="B35" s="60" t="s">
        <v>97</v>
      </c>
      <c r="C35" s="61" t="s">
        <v>110</v>
      </c>
      <c r="D35" s="62" t="s">
        <v>27</v>
      </c>
      <c r="E35" s="63" t="str">
        <f>A35&amp;" "&amp;B35&amp;" "&amp;C35</f>
        <v>ASTM C-33 Size #7</v>
      </c>
      <c r="F35" s="63" t="str">
        <f t="shared" si="0"/>
        <v>ASTM C-33 Size #7 Max</v>
      </c>
      <c r="G35" s="89"/>
      <c r="H35" s="89"/>
      <c r="I35" s="86"/>
      <c r="J35" s="64"/>
      <c r="K35" s="64"/>
      <c r="L35" s="64"/>
      <c r="M35" s="64"/>
      <c r="N35" s="64"/>
      <c r="O35" s="64"/>
      <c r="P35" s="64"/>
      <c r="Q35" s="64">
        <v>1</v>
      </c>
      <c r="R35" s="64"/>
      <c r="S35" s="64">
        <v>1</v>
      </c>
      <c r="T35" s="64">
        <v>0.7</v>
      </c>
      <c r="U35" s="341"/>
      <c r="V35" s="64">
        <v>0.15</v>
      </c>
      <c r="W35" s="64">
        <v>0.05</v>
      </c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75"/>
    </row>
    <row r="36" spans="1:35">
      <c r="A36" s="65" t="s">
        <v>96</v>
      </c>
      <c r="B36" s="66" t="s">
        <v>97</v>
      </c>
      <c r="C36" s="67" t="s">
        <v>110</v>
      </c>
      <c r="D36" s="68" t="s">
        <v>26</v>
      </c>
      <c r="E36" s="69"/>
      <c r="F36" s="70" t="str">
        <f t="shared" si="0"/>
        <v>ASTM C-33 Size #7 Min</v>
      </c>
      <c r="G36" s="90"/>
      <c r="H36" s="90"/>
      <c r="I36" s="87"/>
      <c r="J36" s="71"/>
      <c r="K36" s="71"/>
      <c r="L36" s="71"/>
      <c r="M36" s="71"/>
      <c r="N36" s="71"/>
      <c r="O36" s="71"/>
      <c r="P36" s="71"/>
      <c r="Q36" s="71">
        <v>1</v>
      </c>
      <c r="R36" s="71"/>
      <c r="S36" s="71">
        <v>0.9</v>
      </c>
      <c r="T36" s="71">
        <v>0.4</v>
      </c>
      <c r="U36" s="342"/>
      <c r="V36" s="71">
        <v>0</v>
      </c>
      <c r="W36" s="71">
        <v>0</v>
      </c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6"/>
    </row>
    <row r="37" spans="1:35">
      <c r="A37" s="59" t="s">
        <v>96</v>
      </c>
      <c r="B37" s="60" t="s">
        <v>97</v>
      </c>
      <c r="C37" s="61" t="s">
        <v>111</v>
      </c>
      <c r="D37" s="62" t="s">
        <v>27</v>
      </c>
      <c r="E37" s="63" t="str">
        <f>A37&amp;" "&amp;B37&amp;" "&amp;C37</f>
        <v>ASTM C-33 Size #8</v>
      </c>
      <c r="F37" s="63" t="str">
        <f t="shared" si="0"/>
        <v>ASTM C-33 Size #8 Max</v>
      </c>
      <c r="G37" s="89"/>
      <c r="H37" s="89"/>
      <c r="I37" s="86"/>
      <c r="J37" s="64"/>
      <c r="K37" s="64"/>
      <c r="L37" s="64"/>
      <c r="M37" s="64"/>
      <c r="N37" s="64"/>
      <c r="O37" s="64"/>
      <c r="P37" s="64"/>
      <c r="Q37" s="64"/>
      <c r="R37" s="64"/>
      <c r="S37" s="64">
        <v>1</v>
      </c>
      <c r="T37" s="64">
        <v>1</v>
      </c>
      <c r="U37" s="341"/>
      <c r="V37" s="64">
        <v>0.3</v>
      </c>
      <c r="W37" s="64">
        <v>0.1</v>
      </c>
      <c r="X37" s="64"/>
      <c r="Y37" s="64">
        <v>0.05</v>
      </c>
      <c r="Z37" s="64"/>
      <c r="AA37" s="64"/>
      <c r="AB37" s="64"/>
      <c r="AC37" s="64"/>
      <c r="AD37" s="64"/>
      <c r="AE37" s="64"/>
      <c r="AF37" s="64"/>
      <c r="AG37" s="64"/>
      <c r="AH37" s="64"/>
      <c r="AI37" s="75"/>
    </row>
    <row r="38" spans="1:35">
      <c r="A38" s="65" t="s">
        <v>96</v>
      </c>
      <c r="B38" s="66" t="s">
        <v>97</v>
      </c>
      <c r="C38" s="67" t="s">
        <v>111</v>
      </c>
      <c r="D38" s="68" t="s">
        <v>26</v>
      </c>
      <c r="E38" s="69"/>
      <c r="F38" s="70" t="str">
        <f t="shared" si="0"/>
        <v>ASTM C-33 Size #8 Min</v>
      </c>
      <c r="G38" s="90"/>
      <c r="H38" s="90"/>
      <c r="I38" s="87"/>
      <c r="J38" s="71"/>
      <c r="K38" s="71"/>
      <c r="L38" s="71"/>
      <c r="M38" s="71"/>
      <c r="N38" s="71"/>
      <c r="O38" s="71"/>
      <c r="P38" s="71"/>
      <c r="Q38" s="71"/>
      <c r="R38" s="71"/>
      <c r="S38" s="71">
        <v>1</v>
      </c>
      <c r="T38" s="71">
        <v>0.85</v>
      </c>
      <c r="U38" s="342"/>
      <c r="V38" s="71">
        <v>0.1</v>
      </c>
      <c r="W38" s="71">
        <v>0</v>
      </c>
      <c r="X38" s="71"/>
      <c r="Y38" s="71">
        <v>0</v>
      </c>
      <c r="Z38" s="71"/>
      <c r="AA38" s="71"/>
      <c r="AB38" s="71"/>
      <c r="AC38" s="71"/>
      <c r="AD38" s="71"/>
      <c r="AE38" s="71"/>
      <c r="AF38" s="71"/>
      <c r="AG38" s="71"/>
      <c r="AH38" s="71"/>
      <c r="AI38" s="76"/>
    </row>
    <row r="39" spans="1:35">
      <c r="A39" s="59" t="s">
        <v>96</v>
      </c>
      <c r="B39" s="60" t="s">
        <v>112</v>
      </c>
      <c r="C39" s="61" t="s">
        <v>113</v>
      </c>
      <c r="D39" s="62" t="s">
        <v>27</v>
      </c>
      <c r="E39" s="63" t="str">
        <f>A39&amp;" "&amp;B39&amp;" "&amp;C39</f>
        <v>ASTM C-330 Lightwgt Coarse &amp; Fine; 1/2" - 0</v>
      </c>
      <c r="F39" s="63" t="str">
        <f t="shared" si="0"/>
        <v>ASTM C-330 Lightwgt Coarse &amp; Fine; 1/2" - 0 Max</v>
      </c>
      <c r="G39" s="89"/>
      <c r="H39" s="89"/>
      <c r="I39" s="86"/>
      <c r="J39" s="64"/>
      <c r="K39" s="64"/>
      <c r="L39" s="64"/>
      <c r="M39" s="64"/>
      <c r="N39" s="64"/>
      <c r="O39" s="64"/>
      <c r="P39" s="64"/>
      <c r="Q39" s="64">
        <v>1</v>
      </c>
      <c r="R39" s="64"/>
      <c r="S39" s="64">
        <v>1</v>
      </c>
      <c r="T39" s="64"/>
      <c r="U39" s="341"/>
      <c r="V39" s="64">
        <v>0.8</v>
      </c>
      <c r="W39" s="64"/>
      <c r="X39" s="64"/>
      <c r="Y39" s="64"/>
      <c r="Z39" s="64"/>
      <c r="AA39" s="64"/>
      <c r="AB39" s="64"/>
      <c r="AC39" s="64">
        <v>0.2</v>
      </c>
      <c r="AD39" s="64"/>
      <c r="AE39" s="64"/>
      <c r="AF39" s="64">
        <v>0.15</v>
      </c>
      <c r="AG39" s="64"/>
      <c r="AH39" s="64"/>
      <c r="AI39" s="75"/>
    </row>
    <row r="40" spans="1:35">
      <c r="A40" s="65" t="s">
        <v>96</v>
      </c>
      <c r="B40" s="66" t="s">
        <v>112</v>
      </c>
      <c r="C40" s="67" t="s">
        <v>113</v>
      </c>
      <c r="D40" s="68" t="s">
        <v>26</v>
      </c>
      <c r="E40" s="69"/>
      <c r="F40" s="70" t="str">
        <f t="shared" si="0"/>
        <v>ASTM C-330 Lightwgt Coarse &amp; Fine; 1/2" - 0 Min</v>
      </c>
      <c r="G40" s="90"/>
      <c r="H40" s="90"/>
      <c r="I40" s="87"/>
      <c r="J40" s="71"/>
      <c r="K40" s="71"/>
      <c r="L40" s="71"/>
      <c r="M40" s="71"/>
      <c r="N40" s="71"/>
      <c r="O40" s="71"/>
      <c r="P40" s="71"/>
      <c r="Q40" s="71">
        <v>1</v>
      </c>
      <c r="R40" s="71"/>
      <c r="S40" s="71">
        <v>0.95</v>
      </c>
      <c r="T40" s="71"/>
      <c r="U40" s="342"/>
      <c r="V40" s="71">
        <v>0.5</v>
      </c>
      <c r="W40" s="71"/>
      <c r="X40" s="71"/>
      <c r="Y40" s="71"/>
      <c r="Z40" s="71"/>
      <c r="AA40" s="71"/>
      <c r="AB40" s="71"/>
      <c r="AC40" s="71">
        <v>0.05</v>
      </c>
      <c r="AD40" s="71"/>
      <c r="AE40" s="71"/>
      <c r="AF40" s="71">
        <v>0.02</v>
      </c>
      <c r="AG40" s="71"/>
      <c r="AH40" s="71"/>
      <c r="AI40" s="76"/>
    </row>
    <row r="41" spans="1:35">
      <c r="A41" s="59" t="s">
        <v>96</v>
      </c>
      <c r="B41" s="60" t="s">
        <v>112</v>
      </c>
      <c r="C41" s="61" t="s">
        <v>114</v>
      </c>
      <c r="D41" s="62" t="s">
        <v>27</v>
      </c>
      <c r="E41" s="63" t="str">
        <f>A41&amp;" "&amp;B41&amp;" "&amp;C41</f>
        <v>ASTM C-330 Lightwgt Coarse &amp; Fine; 3/8" - 0</v>
      </c>
      <c r="F41" s="63" t="str">
        <f t="shared" si="0"/>
        <v>ASTM C-330 Lightwgt Coarse &amp; Fine; 3/8" - 0 Max</v>
      </c>
      <c r="G41" s="89"/>
      <c r="H41" s="89"/>
      <c r="I41" s="86"/>
      <c r="J41" s="64"/>
      <c r="K41" s="64"/>
      <c r="L41" s="64"/>
      <c r="M41" s="64"/>
      <c r="N41" s="64"/>
      <c r="O41" s="64"/>
      <c r="P41" s="64"/>
      <c r="Q41" s="64"/>
      <c r="R41" s="64"/>
      <c r="S41" s="64">
        <v>1</v>
      </c>
      <c r="T41" s="64">
        <v>1</v>
      </c>
      <c r="U41" s="341"/>
      <c r="V41" s="64">
        <v>0.9</v>
      </c>
      <c r="W41" s="64">
        <v>0.65</v>
      </c>
      <c r="X41" s="64"/>
      <c r="Y41" s="64"/>
      <c r="Z41" s="64"/>
      <c r="AA41" s="64"/>
      <c r="AB41" s="64"/>
      <c r="AC41" s="64">
        <v>0.25</v>
      </c>
      <c r="AD41" s="64"/>
      <c r="AE41" s="64"/>
      <c r="AF41" s="64">
        <v>0.15</v>
      </c>
      <c r="AG41" s="64"/>
      <c r="AH41" s="64"/>
      <c r="AI41" s="75"/>
    </row>
    <row r="42" spans="1:35">
      <c r="A42" s="65" t="s">
        <v>96</v>
      </c>
      <c r="B42" s="66" t="s">
        <v>112</v>
      </c>
      <c r="C42" s="67" t="s">
        <v>114</v>
      </c>
      <c r="D42" s="68" t="s">
        <v>26</v>
      </c>
      <c r="E42" s="69"/>
      <c r="F42" s="70" t="str">
        <f t="shared" si="0"/>
        <v>ASTM C-330 Lightwgt Coarse &amp; Fine; 3/8" - 0 Min</v>
      </c>
      <c r="G42" s="90"/>
      <c r="H42" s="90"/>
      <c r="I42" s="87"/>
      <c r="J42" s="71"/>
      <c r="K42" s="71"/>
      <c r="L42" s="71"/>
      <c r="M42" s="71"/>
      <c r="N42" s="71"/>
      <c r="O42" s="71"/>
      <c r="P42" s="71"/>
      <c r="Q42" s="71"/>
      <c r="R42" s="71"/>
      <c r="S42" s="71">
        <v>1</v>
      </c>
      <c r="T42" s="71">
        <v>0.9</v>
      </c>
      <c r="U42" s="342"/>
      <c r="V42" s="71">
        <v>0.65</v>
      </c>
      <c r="W42" s="71">
        <v>0.35</v>
      </c>
      <c r="X42" s="71"/>
      <c r="Y42" s="71"/>
      <c r="Z42" s="71"/>
      <c r="AA42" s="71"/>
      <c r="AB42" s="71"/>
      <c r="AC42" s="71">
        <v>0.1</v>
      </c>
      <c r="AD42" s="71"/>
      <c r="AE42" s="71"/>
      <c r="AF42" s="71">
        <v>0.05</v>
      </c>
      <c r="AG42" s="71"/>
      <c r="AH42" s="71"/>
      <c r="AI42" s="76"/>
    </row>
    <row r="43" spans="1:35">
      <c r="A43" s="59" t="s">
        <v>96</v>
      </c>
      <c r="B43" s="60" t="s">
        <v>112</v>
      </c>
      <c r="C43" s="61" t="s">
        <v>115</v>
      </c>
      <c r="D43" s="62" t="s">
        <v>27</v>
      </c>
      <c r="E43" s="63" t="str">
        <f>A43&amp;" "&amp;B43&amp;" "&amp;C43</f>
        <v>ASTM C-330 Lightwgt Coarse; 1" - #4</v>
      </c>
      <c r="F43" s="63" t="str">
        <f t="shared" si="0"/>
        <v>ASTM C-330 Lightwgt Coarse; 1" - #4 Max</v>
      </c>
      <c r="G43" s="89"/>
      <c r="H43" s="89"/>
      <c r="I43" s="86"/>
      <c r="J43" s="64"/>
      <c r="K43" s="64"/>
      <c r="L43" s="64"/>
      <c r="M43" s="64"/>
      <c r="N43" s="64"/>
      <c r="O43" s="64">
        <v>1</v>
      </c>
      <c r="P43" s="64"/>
      <c r="Q43" s="64"/>
      <c r="R43" s="64"/>
      <c r="S43" s="64">
        <v>0.6</v>
      </c>
      <c r="T43" s="64"/>
      <c r="U43" s="341"/>
      <c r="V43" s="64">
        <v>0.1</v>
      </c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75"/>
    </row>
    <row r="44" spans="1:35">
      <c r="A44" s="65" t="s">
        <v>96</v>
      </c>
      <c r="B44" s="66" t="s">
        <v>112</v>
      </c>
      <c r="C44" s="67" t="s">
        <v>115</v>
      </c>
      <c r="D44" s="68" t="s">
        <v>26</v>
      </c>
      <c r="E44" s="69"/>
      <c r="F44" s="70" t="str">
        <f t="shared" si="0"/>
        <v>ASTM C-330 Lightwgt Coarse; 1" - #4 Min</v>
      </c>
      <c r="G44" s="90"/>
      <c r="H44" s="90"/>
      <c r="I44" s="87"/>
      <c r="J44" s="71"/>
      <c r="K44" s="71"/>
      <c r="L44" s="71"/>
      <c r="M44" s="71"/>
      <c r="N44" s="71"/>
      <c r="O44" s="71">
        <v>0.95</v>
      </c>
      <c r="P44" s="71"/>
      <c r="Q44" s="71"/>
      <c r="R44" s="71"/>
      <c r="S44" s="71">
        <v>0.25</v>
      </c>
      <c r="T44" s="71"/>
      <c r="U44" s="342"/>
      <c r="V44" s="71">
        <v>0</v>
      </c>
      <c r="W44" s="71"/>
      <c r="X44" s="71"/>
      <c r="Y44" s="71"/>
      <c r="Z44" s="71"/>
      <c r="AA44" s="71"/>
      <c r="AB44" s="71"/>
      <c r="AC44" s="71"/>
      <c r="AD44" s="71"/>
      <c r="AE44" s="71"/>
      <c r="AF44" s="71"/>
      <c r="AG44" s="71"/>
      <c r="AH44" s="71"/>
      <c r="AI44" s="76"/>
    </row>
    <row r="45" spans="1:35">
      <c r="A45" s="59" t="s">
        <v>96</v>
      </c>
      <c r="B45" s="60" t="s">
        <v>112</v>
      </c>
      <c r="C45" s="61" t="s">
        <v>116</v>
      </c>
      <c r="D45" s="62" t="s">
        <v>27</v>
      </c>
      <c r="E45" s="63" t="str">
        <f>A45&amp;" "&amp;B45&amp;" "&amp;C45</f>
        <v>ASTM C-330 Lightwgt Coarse; 1/2" - #4</v>
      </c>
      <c r="F45" s="63" t="str">
        <f t="shared" si="0"/>
        <v>ASTM C-330 Lightwgt Coarse; 1/2" - #4 Max</v>
      </c>
      <c r="G45" s="89"/>
      <c r="H45" s="89"/>
      <c r="I45" s="86"/>
      <c r="J45" s="64"/>
      <c r="K45" s="64"/>
      <c r="L45" s="64"/>
      <c r="M45" s="64"/>
      <c r="N45" s="64"/>
      <c r="O45" s="64"/>
      <c r="P45" s="64"/>
      <c r="Q45" s="64">
        <v>1</v>
      </c>
      <c r="R45" s="64"/>
      <c r="S45" s="64">
        <v>1</v>
      </c>
      <c r="T45" s="64">
        <v>0.8</v>
      </c>
      <c r="U45" s="341"/>
      <c r="V45" s="64">
        <v>0.2</v>
      </c>
      <c r="W45" s="64">
        <v>0.1</v>
      </c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75"/>
    </row>
    <row r="46" spans="1:35">
      <c r="A46" s="65" t="s">
        <v>96</v>
      </c>
      <c r="B46" s="66" t="s">
        <v>112</v>
      </c>
      <c r="C46" s="67" t="s">
        <v>116</v>
      </c>
      <c r="D46" s="68" t="s">
        <v>26</v>
      </c>
      <c r="E46" s="69"/>
      <c r="F46" s="70" t="str">
        <f t="shared" si="0"/>
        <v>ASTM C-330 Lightwgt Coarse; 1/2" - #4 Min</v>
      </c>
      <c r="G46" s="90"/>
      <c r="H46" s="90"/>
      <c r="I46" s="87"/>
      <c r="J46" s="71"/>
      <c r="K46" s="71"/>
      <c r="L46" s="71"/>
      <c r="M46" s="71"/>
      <c r="N46" s="71"/>
      <c r="O46" s="71"/>
      <c r="P46" s="71"/>
      <c r="Q46" s="71">
        <v>1</v>
      </c>
      <c r="R46" s="71"/>
      <c r="S46" s="71">
        <v>0.9</v>
      </c>
      <c r="T46" s="71">
        <v>0.4</v>
      </c>
      <c r="U46" s="342"/>
      <c r="V46" s="71">
        <v>0</v>
      </c>
      <c r="W46" s="71">
        <v>0</v>
      </c>
      <c r="X46" s="71"/>
      <c r="Y46" s="71"/>
      <c r="Z46" s="71"/>
      <c r="AA46" s="71"/>
      <c r="AB46" s="71"/>
      <c r="AC46" s="71"/>
      <c r="AD46" s="71"/>
      <c r="AE46" s="71"/>
      <c r="AF46" s="71"/>
      <c r="AG46" s="71"/>
      <c r="AH46" s="71"/>
      <c r="AI46" s="76"/>
    </row>
    <row r="47" spans="1:35">
      <c r="A47" s="59" t="s">
        <v>96</v>
      </c>
      <c r="B47" s="60" t="s">
        <v>112</v>
      </c>
      <c r="C47" s="61" t="s">
        <v>117</v>
      </c>
      <c r="D47" s="62" t="s">
        <v>27</v>
      </c>
      <c r="E47" s="63" t="str">
        <f>A47&amp;" "&amp;B47&amp;" "&amp;C47</f>
        <v>ASTM C-330 Lightwgt Coarse; 3/4" - #4</v>
      </c>
      <c r="F47" s="63" t="str">
        <f t="shared" si="0"/>
        <v>ASTM C-330 Lightwgt Coarse; 3/4" - #4 Max</v>
      </c>
      <c r="G47" s="89"/>
      <c r="H47" s="89"/>
      <c r="I47" s="86"/>
      <c r="J47" s="64"/>
      <c r="K47" s="64"/>
      <c r="L47" s="64"/>
      <c r="M47" s="64"/>
      <c r="N47" s="64"/>
      <c r="O47" s="64">
        <v>1</v>
      </c>
      <c r="P47" s="64"/>
      <c r="Q47" s="64">
        <v>1</v>
      </c>
      <c r="R47" s="64"/>
      <c r="S47" s="64"/>
      <c r="T47" s="64">
        <v>0.5</v>
      </c>
      <c r="U47" s="341"/>
      <c r="V47" s="64">
        <v>0.15</v>
      </c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75"/>
    </row>
    <row r="48" spans="1:35">
      <c r="A48" s="65" t="s">
        <v>96</v>
      </c>
      <c r="B48" s="66" t="s">
        <v>112</v>
      </c>
      <c r="C48" s="67" t="s">
        <v>117</v>
      </c>
      <c r="D48" s="68" t="s">
        <v>26</v>
      </c>
      <c r="E48" s="69"/>
      <c r="F48" s="70" t="str">
        <f t="shared" si="0"/>
        <v>ASTM C-330 Lightwgt Coarse; 3/4" - #4 Min</v>
      </c>
      <c r="G48" s="90"/>
      <c r="H48" s="90"/>
      <c r="I48" s="87"/>
      <c r="J48" s="71"/>
      <c r="K48" s="71"/>
      <c r="L48" s="71"/>
      <c r="M48" s="71"/>
      <c r="N48" s="71"/>
      <c r="O48" s="71">
        <v>1</v>
      </c>
      <c r="P48" s="71"/>
      <c r="Q48" s="71">
        <v>0.9</v>
      </c>
      <c r="R48" s="71"/>
      <c r="S48" s="71"/>
      <c r="T48" s="71">
        <v>0.1</v>
      </c>
      <c r="U48" s="342"/>
      <c r="V48" s="71">
        <v>0</v>
      </c>
      <c r="W48" s="71"/>
      <c r="X48" s="71"/>
      <c r="Y48" s="71"/>
      <c r="Z48" s="71"/>
      <c r="AA48" s="71"/>
      <c r="AB48" s="71"/>
      <c r="AC48" s="71"/>
      <c r="AD48" s="71"/>
      <c r="AE48" s="71"/>
      <c r="AF48" s="71"/>
      <c r="AG48" s="71"/>
      <c r="AH48" s="71"/>
      <c r="AI48" s="76"/>
    </row>
    <row r="49" spans="1:35">
      <c r="A49" s="59" t="s">
        <v>96</v>
      </c>
      <c r="B49" s="60" t="s">
        <v>112</v>
      </c>
      <c r="C49" s="61" t="s">
        <v>118</v>
      </c>
      <c r="D49" s="62" t="s">
        <v>27</v>
      </c>
      <c r="E49" s="63" t="str">
        <f>A49&amp;" "&amp;B49&amp;" "&amp;C49</f>
        <v>ASTM C-330 Lightwgt Coarse; 3/8" - #8</v>
      </c>
      <c r="F49" s="63" t="str">
        <f t="shared" si="0"/>
        <v>ASTM C-330 Lightwgt Coarse; 3/8" - #8 Max</v>
      </c>
      <c r="G49" s="89"/>
      <c r="H49" s="89"/>
      <c r="I49" s="86"/>
      <c r="J49" s="64"/>
      <c r="K49" s="64"/>
      <c r="L49" s="64"/>
      <c r="M49" s="64"/>
      <c r="N49" s="64"/>
      <c r="O49" s="64"/>
      <c r="P49" s="64"/>
      <c r="Q49" s="64"/>
      <c r="R49" s="64"/>
      <c r="S49" s="64">
        <v>1</v>
      </c>
      <c r="T49" s="64">
        <v>1</v>
      </c>
      <c r="U49" s="341"/>
      <c r="V49" s="64">
        <v>0.4</v>
      </c>
      <c r="W49" s="64">
        <v>0.2</v>
      </c>
      <c r="X49" s="64"/>
      <c r="Y49" s="64">
        <v>0.1</v>
      </c>
      <c r="Z49" s="64"/>
      <c r="AA49" s="64"/>
      <c r="AB49" s="64"/>
      <c r="AC49" s="64"/>
      <c r="AD49" s="64"/>
      <c r="AE49" s="64"/>
      <c r="AF49" s="64"/>
      <c r="AG49" s="64"/>
      <c r="AH49" s="64"/>
      <c r="AI49" s="75"/>
    </row>
    <row r="50" spans="1:35">
      <c r="A50" s="65" t="s">
        <v>96</v>
      </c>
      <c r="B50" s="66" t="s">
        <v>112</v>
      </c>
      <c r="C50" s="67" t="s">
        <v>118</v>
      </c>
      <c r="D50" s="68" t="s">
        <v>26</v>
      </c>
      <c r="E50" s="69"/>
      <c r="F50" s="70" t="str">
        <f t="shared" si="0"/>
        <v>ASTM C-330 Lightwgt Coarse; 3/8" - #8 Min</v>
      </c>
      <c r="G50" s="90"/>
      <c r="H50" s="90"/>
      <c r="I50" s="87"/>
      <c r="J50" s="71"/>
      <c r="K50" s="71"/>
      <c r="L50" s="71"/>
      <c r="M50" s="71"/>
      <c r="N50" s="71"/>
      <c r="O50" s="71"/>
      <c r="P50" s="71"/>
      <c r="Q50" s="71"/>
      <c r="R50" s="71"/>
      <c r="S50" s="71">
        <v>1</v>
      </c>
      <c r="T50" s="71">
        <v>0.8</v>
      </c>
      <c r="U50" s="342"/>
      <c r="V50" s="71">
        <v>0.05</v>
      </c>
      <c r="W50" s="71">
        <v>0</v>
      </c>
      <c r="X50" s="71"/>
      <c r="Y50" s="71">
        <v>0</v>
      </c>
      <c r="Z50" s="71"/>
      <c r="AA50" s="71"/>
      <c r="AB50" s="71"/>
      <c r="AC50" s="71"/>
      <c r="AD50" s="71"/>
      <c r="AE50" s="71"/>
      <c r="AF50" s="71"/>
      <c r="AG50" s="71"/>
      <c r="AH50" s="71"/>
      <c r="AI50" s="76"/>
    </row>
    <row r="51" spans="1:35">
      <c r="A51" s="59" t="s">
        <v>96</v>
      </c>
      <c r="B51" s="60" t="s">
        <v>112</v>
      </c>
      <c r="C51" s="61" t="s">
        <v>119</v>
      </c>
      <c r="D51" s="62" t="s">
        <v>27</v>
      </c>
      <c r="E51" s="63" t="str">
        <f>A51&amp;" "&amp;B51&amp;" "&amp;C51</f>
        <v>ASTM C-330 Lightwgt Fines</v>
      </c>
      <c r="F51" s="63" t="str">
        <f t="shared" si="0"/>
        <v>ASTM C-330 Lightwgt Fines Max</v>
      </c>
      <c r="G51" s="89"/>
      <c r="H51" s="89"/>
      <c r="I51" s="86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>
        <v>1</v>
      </c>
      <c r="U51" s="341"/>
      <c r="V51" s="64">
        <v>1</v>
      </c>
      <c r="W51" s="64"/>
      <c r="X51" s="64"/>
      <c r="Y51" s="64">
        <v>0.8</v>
      </c>
      <c r="Z51" s="64"/>
      <c r="AA51" s="64"/>
      <c r="AB51" s="64"/>
      <c r="AC51" s="64">
        <v>0.35</v>
      </c>
      <c r="AD51" s="64"/>
      <c r="AE51" s="64"/>
      <c r="AF51" s="64">
        <v>0.25</v>
      </c>
      <c r="AG51" s="64"/>
      <c r="AH51" s="64"/>
      <c r="AI51" s="75"/>
    </row>
    <row r="52" spans="1:35">
      <c r="A52" s="65" t="s">
        <v>96</v>
      </c>
      <c r="B52" s="66" t="s">
        <v>112</v>
      </c>
      <c r="C52" s="67" t="s">
        <v>119</v>
      </c>
      <c r="D52" s="68" t="s">
        <v>26</v>
      </c>
      <c r="E52" s="69"/>
      <c r="F52" s="70" t="str">
        <f t="shared" si="0"/>
        <v>ASTM C-330 Lightwgt Fines Min</v>
      </c>
      <c r="G52" s="90"/>
      <c r="H52" s="90"/>
      <c r="I52" s="87"/>
      <c r="J52" s="71"/>
      <c r="K52" s="71"/>
      <c r="L52" s="71"/>
      <c r="M52" s="71"/>
      <c r="N52" s="71"/>
      <c r="O52" s="71"/>
      <c r="P52" s="71"/>
      <c r="Q52" s="71"/>
      <c r="R52" s="71"/>
      <c r="S52" s="71"/>
      <c r="T52" s="71">
        <v>1</v>
      </c>
      <c r="U52" s="342"/>
      <c r="V52" s="71">
        <v>0.85</v>
      </c>
      <c r="W52" s="71"/>
      <c r="X52" s="71"/>
      <c r="Y52" s="71">
        <v>0.4</v>
      </c>
      <c r="Z52" s="71"/>
      <c r="AA52" s="71"/>
      <c r="AB52" s="71"/>
      <c r="AC52" s="71">
        <v>0.1</v>
      </c>
      <c r="AD52" s="71"/>
      <c r="AE52" s="71"/>
      <c r="AF52" s="71">
        <v>0.05</v>
      </c>
      <c r="AG52" s="71"/>
      <c r="AH52" s="71"/>
      <c r="AI52" s="76"/>
    </row>
    <row r="53" spans="1:35">
      <c r="A53" s="59" t="s">
        <v>120</v>
      </c>
      <c r="B53" s="60" t="s">
        <v>121</v>
      </c>
      <c r="C53" s="61" t="s">
        <v>122</v>
      </c>
      <c r="D53" s="62" t="s">
        <v>27</v>
      </c>
      <c r="E53" s="63" t="str">
        <f>A53&amp;" "&amp;B53&amp;" "&amp;C53</f>
        <v>WSDOT 9-03.1(2)B Sand, Class 1</v>
      </c>
      <c r="F53" s="63" t="str">
        <f t="shared" si="0"/>
        <v>WSDOT 9-03.1(2)B Sand, Class 1 Max</v>
      </c>
      <c r="G53" s="89"/>
      <c r="H53" s="89"/>
      <c r="I53" s="86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>
        <v>1</v>
      </c>
      <c r="U53" s="341"/>
      <c r="V53" s="64">
        <v>1</v>
      </c>
      <c r="W53" s="64">
        <v>0.86</v>
      </c>
      <c r="X53" s="64"/>
      <c r="Y53" s="64">
        <v>0.65</v>
      </c>
      <c r="Z53" s="64"/>
      <c r="AA53" s="64">
        <v>0.42</v>
      </c>
      <c r="AB53" s="64"/>
      <c r="AC53" s="64">
        <v>0.2</v>
      </c>
      <c r="AD53" s="64"/>
      <c r="AE53" s="64"/>
      <c r="AF53" s="64">
        <v>7.0000000000000007E-2</v>
      </c>
      <c r="AG53" s="64"/>
      <c r="AH53" s="64"/>
      <c r="AI53" s="75">
        <v>2.5000000000000001E-2</v>
      </c>
    </row>
    <row r="54" spans="1:35">
      <c r="A54" s="65" t="s">
        <v>120</v>
      </c>
      <c r="B54" s="66" t="s">
        <v>121</v>
      </c>
      <c r="C54" s="67" t="s">
        <v>122</v>
      </c>
      <c r="D54" s="68" t="s">
        <v>26</v>
      </c>
      <c r="E54" s="69"/>
      <c r="F54" s="70" t="str">
        <f t="shared" si="0"/>
        <v>WSDOT 9-03.1(2)B Sand, Class 1 Min</v>
      </c>
      <c r="G54" s="90"/>
      <c r="H54" s="90"/>
      <c r="I54" s="87"/>
      <c r="J54" s="71"/>
      <c r="K54" s="71"/>
      <c r="L54" s="71"/>
      <c r="M54" s="71"/>
      <c r="N54" s="71"/>
      <c r="O54" s="71"/>
      <c r="P54" s="71"/>
      <c r="Q54" s="71"/>
      <c r="R54" s="71"/>
      <c r="S54" s="71"/>
      <c r="T54" s="71">
        <v>1</v>
      </c>
      <c r="U54" s="342"/>
      <c r="V54" s="71">
        <v>0.95</v>
      </c>
      <c r="W54" s="71">
        <v>0.68</v>
      </c>
      <c r="X54" s="71"/>
      <c r="Y54" s="71">
        <v>0.47</v>
      </c>
      <c r="Z54" s="71"/>
      <c r="AA54" s="71">
        <v>0.27</v>
      </c>
      <c r="AB54" s="71"/>
      <c r="AC54" s="71">
        <v>0.09</v>
      </c>
      <c r="AD54" s="71"/>
      <c r="AE54" s="71"/>
      <c r="AF54" s="71">
        <v>0</v>
      </c>
      <c r="AG54" s="71"/>
      <c r="AH54" s="71"/>
      <c r="AI54" s="76">
        <v>0</v>
      </c>
    </row>
    <row r="55" spans="1:35">
      <c r="A55" s="59" t="s">
        <v>120</v>
      </c>
      <c r="B55" s="60" t="s">
        <v>121</v>
      </c>
      <c r="C55" s="61" t="s">
        <v>123</v>
      </c>
      <c r="D55" s="62" t="s">
        <v>27</v>
      </c>
      <c r="E55" s="63" t="str">
        <f>A55&amp;" "&amp;B55&amp;" "&amp;C55</f>
        <v>WSDOT 9-03.1(2)B Sand, Class 2</v>
      </c>
      <c r="F55" s="63" t="str">
        <f t="shared" si="0"/>
        <v>WSDOT 9-03.1(2)B Sand, Class 2 Max</v>
      </c>
      <c r="G55" s="89"/>
      <c r="H55" s="89"/>
      <c r="I55" s="86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>
        <v>1</v>
      </c>
      <c r="U55" s="341"/>
      <c r="V55" s="64">
        <v>1</v>
      </c>
      <c r="W55" s="64"/>
      <c r="X55" s="64"/>
      <c r="Y55" s="64">
        <v>0.8</v>
      </c>
      <c r="Z55" s="64"/>
      <c r="AA55" s="64"/>
      <c r="AB55" s="64"/>
      <c r="AC55" s="64">
        <v>0.3</v>
      </c>
      <c r="AD55" s="64"/>
      <c r="AE55" s="64"/>
      <c r="AF55" s="64">
        <v>0.1</v>
      </c>
      <c r="AG55" s="64"/>
      <c r="AH55" s="64"/>
      <c r="AI55" s="75">
        <v>2.5000000000000001E-2</v>
      </c>
    </row>
    <row r="56" spans="1:35">
      <c r="A56" s="65" t="s">
        <v>120</v>
      </c>
      <c r="B56" s="66" t="s">
        <v>121</v>
      </c>
      <c r="C56" s="67" t="s">
        <v>123</v>
      </c>
      <c r="D56" s="68" t="s">
        <v>26</v>
      </c>
      <c r="E56" s="69"/>
      <c r="F56" s="70" t="str">
        <f t="shared" si="0"/>
        <v>WSDOT 9-03.1(2)B Sand, Class 2 Min</v>
      </c>
      <c r="G56" s="90"/>
      <c r="H56" s="90"/>
      <c r="I56" s="87"/>
      <c r="J56" s="71"/>
      <c r="K56" s="71"/>
      <c r="L56" s="71"/>
      <c r="M56" s="71"/>
      <c r="N56" s="71"/>
      <c r="O56" s="71"/>
      <c r="P56" s="71"/>
      <c r="Q56" s="71"/>
      <c r="R56" s="71"/>
      <c r="S56" s="71"/>
      <c r="T56" s="71">
        <v>1</v>
      </c>
      <c r="U56" s="342"/>
      <c r="V56" s="71">
        <v>0.95</v>
      </c>
      <c r="W56" s="71"/>
      <c r="X56" s="71"/>
      <c r="Y56" s="71">
        <v>0.45</v>
      </c>
      <c r="Z56" s="71"/>
      <c r="AA56" s="71"/>
      <c r="AB56" s="71"/>
      <c r="AC56" s="71">
        <v>0.1</v>
      </c>
      <c r="AD56" s="71"/>
      <c r="AE56" s="71"/>
      <c r="AF56" s="71">
        <v>0.02</v>
      </c>
      <c r="AG56" s="71"/>
      <c r="AH56" s="71"/>
      <c r="AI56" s="76">
        <v>0</v>
      </c>
    </row>
    <row r="57" spans="1:35">
      <c r="A57" s="59" t="s">
        <v>120</v>
      </c>
      <c r="B57" s="60" t="s">
        <v>124</v>
      </c>
      <c r="C57" s="61" t="s">
        <v>125</v>
      </c>
      <c r="D57" s="62" t="s">
        <v>27</v>
      </c>
      <c r="E57" s="63" t="str">
        <f>A57&amp;" "&amp;B57&amp;" "&amp;C57</f>
        <v>WSDOT 9-03.1(3)C Grading #2</v>
      </c>
      <c r="F57" s="63" t="str">
        <f t="shared" si="0"/>
        <v>WSDOT 9-03.1(3)C Grading #2 Max</v>
      </c>
      <c r="G57" s="89"/>
      <c r="H57" s="89"/>
      <c r="I57" s="86"/>
      <c r="J57" s="64"/>
      <c r="K57" s="64"/>
      <c r="L57" s="64"/>
      <c r="M57" s="64">
        <v>1</v>
      </c>
      <c r="N57" s="64">
        <v>1</v>
      </c>
      <c r="O57" s="64"/>
      <c r="P57" s="64"/>
      <c r="Q57" s="64">
        <v>0.7</v>
      </c>
      <c r="R57" s="64"/>
      <c r="S57" s="64"/>
      <c r="T57" s="64">
        <v>0.2</v>
      </c>
      <c r="U57" s="341"/>
      <c r="V57" s="64">
        <v>0.02</v>
      </c>
      <c r="W57" s="64"/>
      <c r="X57" s="64"/>
      <c r="Y57" s="64"/>
      <c r="Z57" s="64"/>
      <c r="AA57" s="64"/>
      <c r="AB57" s="64"/>
      <c r="AC57" s="64"/>
      <c r="AD57" s="64"/>
      <c r="AE57" s="64"/>
      <c r="AF57" s="64"/>
      <c r="AG57" s="64"/>
      <c r="AH57" s="64"/>
      <c r="AI57" s="75">
        <v>5.0000000000000001E-3</v>
      </c>
    </row>
    <row r="58" spans="1:35">
      <c r="A58" s="65" t="s">
        <v>120</v>
      </c>
      <c r="B58" s="66" t="s">
        <v>124</v>
      </c>
      <c r="C58" s="67" t="s">
        <v>125</v>
      </c>
      <c r="D58" s="68" t="s">
        <v>26</v>
      </c>
      <c r="E58" s="69"/>
      <c r="F58" s="70" t="str">
        <f t="shared" si="0"/>
        <v>WSDOT 9-03.1(3)C Grading #2 Min</v>
      </c>
      <c r="G58" s="90"/>
      <c r="H58" s="90"/>
      <c r="I58" s="87"/>
      <c r="J58" s="71"/>
      <c r="K58" s="71"/>
      <c r="L58" s="71"/>
      <c r="M58" s="71">
        <v>1</v>
      </c>
      <c r="N58" s="71">
        <v>0.95</v>
      </c>
      <c r="O58" s="71"/>
      <c r="P58" s="71"/>
      <c r="Q58" s="71">
        <v>0.4</v>
      </c>
      <c r="R58" s="71"/>
      <c r="S58" s="71"/>
      <c r="T58" s="71">
        <v>0.05</v>
      </c>
      <c r="U58" s="342"/>
      <c r="V58" s="71">
        <v>0</v>
      </c>
      <c r="W58" s="71"/>
      <c r="X58" s="71"/>
      <c r="Y58" s="71"/>
      <c r="Z58" s="71"/>
      <c r="AA58" s="71"/>
      <c r="AB58" s="71"/>
      <c r="AC58" s="71"/>
      <c r="AD58" s="71"/>
      <c r="AE58" s="71"/>
      <c r="AF58" s="71"/>
      <c r="AG58" s="71"/>
      <c r="AH58" s="71"/>
      <c r="AI58" s="76">
        <v>0</v>
      </c>
    </row>
    <row r="59" spans="1:35">
      <c r="A59" s="59" t="s">
        <v>120</v>
      </c>
      <c r="B59" s="60" t="s">
        <v>124</v>
      </c>
      <c r="C59" s="61" t="s">
        <v>126</v>
      </c>
      <c r="D59" s="62" t="s">
        <v>27</v>
      </c>
      <c r="E59" s="63" t="str">
        <f>A59&amp;" "&amp;B59&amp;" "&amp;C59</f>
        <v>WSDOT 9-03.1(3)C Grading #4</v>
      </c>
      <c r="F59" s="63" t="str">
        <f t="shared" si="0"/>
        <v>WSDOT 9-03.1(3)C Grading #4 Max</v>
      </c>
      <c r="G59" s="89"/>
      <c r="H59" s="89"/>
      <c r="I59" s="86"/>
      <c r="J59" s="64"/>
      <c r="K59" s="64"/>
      <c r="L59" s="64"/>
      <c r="M59" s="64">
        <v>1</v>
      </c>
      <c r="N59" s="64">
        <v>1</v>
      </c>
      <c r="O59" s="64"/>
      <c r="P59" s="64"/>
      <c r="Q59" s="64">
        <v>0.2</v>
      </c>
      <c r="R59" s="64"/>
      <c r="S59" s="64"/>
      <c r="T59" s="64">
        <v>0.02</v>
      </c>
      <c r="U59" s="341"/>
      <c r="V59" s="64"/>
      <c r="W59" s="64"/>
      <c r="X59" s="64"/>
      <c r="Y59" s="64"/>
      <c r="Z59" s="64"/>
      <c r="AA59" s="64"/>
      <c r="AB59" s="64"/>
      <c r="AC59" s="64"/>
      <c r="AD59" s="64"/>
      <c r="AE59" s="64"/>
      <c r="AF59" s="64"/>
      <c r="AG59" s="64"/>
      <c r="AH59" s="64"/>
      <c r="AI59" s="75">
        <v>5.0000000000000001E-3</v>
      </c>
    </row>
    <row r="60" spans="1:35">
      <c r="A60" s="65" t="s">
        <v>120</v>
      </c>
      <c r="B60" s="66" t="s">
        <v>124</v>
      </c>
      <c r="C60" s="67" t="s">
        <v>126</v>
      </c>
      <c r="D60" s="68" t="s">
        <v>26</v>
      </c>
      <c r="E60" s="69"/>
      <c r="F60" s="70" t="str">
        <f t="shared" si="0"/>
        <v>WSDOT 9-03.1(3)C Grading #4 Min</v>
      </c>
      <c r="G60" s="90"/>
      <c r="H60" s="90"/>
      <c r="I60" s="87"/>
      <c r="J60" s="71"/>
      <c r="K60" s="71"/>
      <c r="L60" s="71"/>
      <c r="M60" s="71">
        <v>1</v>
      </c>
      <c r="N60" s="71">
        <v>0.9</v>
      </c>
      <c r="O60" s="71"/>
      <c r="P60" s="71"/>
      <c r="Q60" s="71">
        <v>0</v>
      </c>
      <c r="R60" s="71"/>
      <c r="S60" s="71"/>
      <c r="T60" s="71">
        <v>0</v>
      </c>
      <c r="U60" s="342"/>
      <c r="V60" s="71"/>
      <c r="W60" s="71"/>
      <c r="X60" s="71"/>
      <c r="Y60" s="71"/>
      <c r="Z60" s="71"/>
      <c r="AA60" s="71"/>
      <c r="AB60" s="71"/>
      <c r="AC60" s="71"/>
      <c r="AD60" s="71"/>
      <c r="AE60" s="71"/>
      <c r="AF60" s="71"/>
      <c r="AG60" s="71"/>
      <c r="AH60" s="71"/>
      <c r="AI60" s="76">
        <v>0</v>
      </c>
    </row>
    <row r="61" spans="1:35">
      <c r="A61" s="59" t="s">
        <v>120</v>
      </c>
      <c r="B61" s="60" t="s">
        <v>124</v>
      </c>
      <c r="C61" s="74" t="s">
        <v>127</v>
      </c>
      <c r="D61" s="62" t="s">
        <v>27</v>
      </c>
      <c r="E61" s="63" t="str">
        <f>A61&amp;" "&amp;B61&amp;" "&amp;C61</f>
        <v>WSDOT 9-03.1(3)C Grading #5</v>
      </c>
      <c r="F61" s="77" t="str">
        <f t="shared" si="0"/>
        <v>WSDOT 9-03.1(3)C Grading #5 Max</v>
      </c>
      <c r="I61" s="84"/>
      <c r="J61" s="50"/>
      <c r="K61" s="50"/>
      <c r="L61" s="50"/>
      <c r="M61" s="50"/>
      <c r="N61" s="50"/>
      <c r="O61" s="50">
        <v>1</v>
      </c>
      <c r="P61" s="50"/>
      <c r="Q61" s="50">
        <v>1</v>
      </c>
      <c r="R61" s="50"/>
      <c r="S61" s="50"/>
      <c r="T61" s="50">
        <v>0.4</v>
      </c>
      <c r="U61" s="56"/>
      <c r="V61" s="50">
        <v>0.04</v>
      </c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1">
        <v>5.0000000000000001E-3</v>
      </c>
    </row>
    <row r="62" spans="1:35">
      <c r="A62" s="65" t="s">
        <v>120</v>
      </c>
      <c r="B62" s="66" t="s">
        <v>124</v>
      </c>
      <c r="C62" s="74" t="s">
        <v>127</v>
      </c>
      <c r="D62" s="68" t="s">
        <v>26</v>
      </c>
      <c r="E62" s="69"/>
      <c r="F62" s="77" t="str">
        <f t="shared" si="0"/>
        <v>WSDOT 9-03.1(3)C Grading #5 Min</v>
      </c>
      <c r="I62" s="84"/>
      <c r="J62" s="50"/>
      <c r="K62" s="50"/>
      <c r="L62" s="50"/>
      <c r="M62" s="50"/>
      <c r="N62" s="50"/>
      <c r="O62" s="50">
        <v>1</v>
      </c>
      <c r="P62" s="50"/>
      <c r="Q62" s="50">
        <v>0.8</v>
      </c>
      <c r="R62" s="50"/>
      <c r="S62" s="50"/>
      <c r="T62" s="50">
        <v>0.1</v>
      </c>
      <c r="U62" s="56"/>
      <c r="V62" s="50">
        <v>0</v>
      </c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1">
        <v>0</v>
      </c>
    </row>
    <row r="63" spans="1:35">
      <c r="A63" s="59" t="s">
        <v>120</v>
      </c>
      <c r="B63" s="60" t="s">
        <v>124</v>
      </c>
      <c r="C63" s="61" t="s">
        <v>128</v>
      </c>
      <c r="D63" s="62" t="s">
        <v>27</v>
      </c>
      <c r="E63" s="63" t="str">
        <f>A63&amp;" "&amp;B63&amp;" "&amp;C63</f>
        <v>WSDOT 9-03.1(3)C Grading #6</v>
      </c>
      <c r="F63" s="63" t="str">
        <f t="shared" si="0"/>
        <v>WSDOT 9-03.1(3)C Grading #6 Max</v>
      </c>
      <c r="G63" s="89"/>
      <c r="H63" s="89"/>
      <c r="I63" s="86"/>
      <c r="J63" s="64"/>
      <c r="K63" s="64"/>
      <c r="L63" s="64"/>
      <c r="M63" s="64"/>
      <c r="N63" s="64"/>
      <c r="O63" s="64"/>
      <c r="P63" s="64"/>
      <c r="Q63" s="64">
        <v>1</v>
      </c>
      <c r="R63" s="64"/>
      <c r="S63" s="64">
        <v>1</v>
      </c>
      <c r="T63" s="64">
        <v>0.9</v>
      </c>
      <c r="U63" s="341"/>
      <c r="V63" s="64">
        <v>0.3</v>
      </c>
      <c r="W63" s="64"/>
      <c r="X63" s="64"/>
      <c r="Y63" s="64"/>
      <c r="Z63" s="64"/>
      <c r="AA63" s="64"/>
      <c r="AB63" s="64"/>
      <c r="AC63" s="64"/>
      <c r="AD63" s="64"/>
      <c r="AE63" s="64"/>
      <c r="AF63" s="64"/>
      <c r="AG63" s="64"/>
      <c r="AH63" s="64"/>
      <c r="AI63" s="75">
        <v>5.0000000000000001E-3</v>
      </c>
    </row>
    <row r="64" spans="1:35">
      <c r="A64" s="65" t="s">
        <v>120</v>
      </c>
      <c r="B64" s="66" t="s">
        <v>124</v>
      </c>
      <c r="C64" s="74" t="s">
        <v>128</v>
      </c>
      <c r="D64" s="68" t="s">
        <v>26</v>
      </c>
      <c r="E64" s="69"/>
      <c r="F64" s="70" t="str">
        <f t="shared" si="0"/>
        <v>WSDOT 9-03.1(3)C Grading #6 Min</v>
      </c>
      <c r="G64" s="90"/>
      <c r="H64" s="90"/>
      <c r="I64" s="87"/>
      <c r="J64" s="71"/>
      <c r="K64" s="71"/>
      <c r="L64" s="71"/>
      <c r="M64" s="71"/>
      <c r="N64" s="71"/>
      <c r="O64" s="71"/>
      <c r="P64" s="71"/>
      <c r="Q64" s="71">
        <v>1</v>
      </c>
      <c r="R64" s="71"/>
      <c r="S64" s="71">
        <v>0.9</v>
      </c>
      <c r="T64" s="71">
        <v>0.4</v>
      </c>
      <c r="U64" s="342"/>
      <c r="V64" s="71">
        <v>0.05</v>
      </c>
      <c r="W64" s="71"/>
      <c r="X64" s="71"/>
      <c r="Y64" s="71"/>
      <c r="Z64" s="71"/>
      <c r="AA64" s="71"/>
      <c r="AB64" s="71"/>
      <c r="AC64" s="71"/>
      <c r="AD64" s="71"/>
      <c r="AE64" s="71"/>
      <c r="AF64" s="71"/>
      <c r="AG64" s="71"/>
      <c r="AH64" s="71"/>
      <c r="AI64" s="76">
        <v>0</v>
      </c>
    </row>
    <row r="65" spans="1:35">
      <c r="A65" s="59" t="s">
        <v>120</v>
      </c>
      <c r="B65" s="60" t="s">
        <v>129</v>
      </c>
      <c r="C65" s="61" t="s">
        <v>130</v>
      </c>
      <c r="D65" s="62" t="s">
        <v>27</v>
      </c>
      <c r="E65" s="63" t="str">
        <f>A65&amp;" "&amp;B65&amp;" "&amp;C65</f>
        <v>WSDOT 9-03.1(4)C Grading #467</v>
      </c>
      <c r="F65" s="63" t="str">
        <f t="shared" si="0"/>
        <v>WSDOT 9-03.1(4)C Grading #467 Max</v>
      </c>
      <c r="G65" s="89"/>
      <c r="H65" s="89"/>
      <c r="I65" s="86"/>
      <c r="J65" s="64"/>
      <c r="K65" s="64">
        <v>1</v>
      </c>
      <c r="L65" s="64"/>
      <c r="M65" s="64">
        <v>1</v>
      </c>
      <c r="N65" s="64"/>
      <c r="O65" s="64"/>
      <c r="P65" s="64"/>
      <c r="Q65" s="64">
        <v>0.7</v>
      </c>
      <c r="R65" s="64"/>
      <c r="S65" s="64"/>
      <c r="T65" s="64">
        <v>0.3</v>
      </c>
      <c r="U65" s="341"/>
      <c r="V65" s="64">
        <v>0.05</v>
      </c>
      <c r="W65" s="64"/>
      <c r="X65" s="64"/>
      <c r="Y65" s="64"/>
      <c r="Z65" s="64"/>
      <c r="AA65" s="64"/>
      <c r="AB65" s="64"/>
      <c r="AC65" s="64"/>
      <c r="AD65" s="64"/>
      <c r="AE65" s="64"/>
      <c r="AF65" s="64"/>
      <c r="AG65" s="64"/>
      <c r="AH65" s="64"/>
      <c r="AI65" s="75"/>
    </row>
    <row r="66" spans="1:35">
      <c r="A66" s="65" t="s">
        <v>120</v>
      </c>
      <c r="B66" s="66" t="s">
        <v>129</v>
      </c>
      <c r="C66" s="74" t="s">
        <v>130</v>
      </c>
      <c r="D66" s="68" t="s">
        <v>26</v>
      </c>
      <c r="E66" s="69"/>
      <c r="F66" s="70" t="str">
        <f t="shared" si="0"/>
        <v>WSDOT 9-03.1(4)C Grading #467 Min</v>
      </c>
      <c r="G66" s="90"/>
      <c r="H66" s="90"/>
      <c r="I66" s="87"/>
      <c r="J66" s="71"/>
      <c r="K66" s="71">
        <v>1</v>
      </c>
      <c r="L66" s="71"/>
      <c r="M66" s="71">
        <v>0.95</v>
      </c>
      <c r="N66" s="71"/>
      <c r="O66" s="71"/>
      <c r="P66" s="71"/>
      <c r="Q66" s="71">
        <v>0.35</v>
      </c>
      <c r="R66" s="71"/>
      <c r="S66" s="71"/>
      <c r="T66" s="71">
        <v>0.1</v>
      </c>
      <c r="U66" s="342"/>
      <c r="V66" s="71">
        <v>0</v>
      </c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1"/>
      <c r="AH66" s="71"/>
      <c r="AI66" s="76"/>
    </row>
    <row r="67" spans="1:35">
      <c r="A67" s="59" t="s">
        <v>120</v>
      </c>
      <c r="B67" s="60" t="s">
        <v>129</v>
      </c>
      <c r="C67" s="61" t="s">
        <v>131</v>
      </c>
      <c r="D67" s="62" t="s">
        <v>27</v>
      </c>
      <c r="E67" s="63" t="str">
        <f>A67&amp;" "&amp;B67&amp;" "&amp;C67</f>
        <v>WSDOT 9-03.1(4)C Grading #57</v>
      </c>
      <c r="F67" s="63" t="str">
        <f t="shared" ref="F67:F98" si="1">A67&amp;" "&amp;B67&amp;" "&amp;C67&amp;" "&amp;D67</f>
        <v>WSDOT 9-03.1(4)C Grading #57 Max</v>
      </c>
      <c r="G67" s="89"/>
      <c r="H67" s="89"/>
      <c r="I67" s="86"/>
      <c r="J67" s="64"/>
      <c r="K67" s="64"/>
      <c r="L67" s="64"/>
      <c r="M67" s="64">
        <v>1</v>
      </c>
      <c r="N67" s="64"/>
      <c r="O67" s="64">
        <v>1</v>
      </c>
      <c r="P67" s="64"/>
      <c r="Q67" s="64"/>
      <c r="R67" s="64"/>
      <c r="S67" s="64">
        <v>0.6</v>
      </c>
      <c r="T67" s="64"/>
      <c r="U67" s="341"/>
      <c r="V67" s="64">
        <v>0.1</v>
      </c>
      <c r="W67" s="64">
        <v>0.05</v>
      </c>
      <c r="X67" s="64"/>
      <c r="Y67" s="64"/>
      <c r="Z67" s="64"/>
      <c r="AA67" s="64"/>
      <c r="AB67" s="64"/>
      <c r="AC67" s="64"/>
      <c r="AD67" s="64"/>
      <c r="AE67" s="64"/>
      <c r="AF67" s="64"/>
      <c r="AG67" s="64"/>
      <c r="AH67" s="64"/>
      <c r="AI67" s="75"/>
    </row>
    <row r="68" spans="1:35">
      <c r="A68" s="65" t="s">
        <v>120</v>
      </c>
      <c r="B68" s="66" t="s">
        <v>129</v>
      </c>
      <c r="C68" s="74" t="s">
        <v>131</v>
      </c>
      <c r="D68" s="68" t="s">
        <v>26</v>
      </c>
      <c r="E68" s="69"/>
      <c r="F68" s="70" t="str">
        <f t="shared" si="1"/>
        <v>WSDOT 9-03.1(4)C Grading #57 Min</v>
      </c>
      <c r="G68" s="90"/>
      <c r="H68" s="90"/>
      <c r="I68" s="87"/>
      <c r="J68" s="71"/>
      <c r="K68" s="71"/>
      <c r="L68" s="71"/>
      <c r="M68" s="71">
        <v>1</v>
      </c>
      <c r="N68" s="71"/>
      <c r="O68" s="71">
        <v>0.95</v>
      </c>
      <c r="P68" s="71"/>
      <c r="Q68" s="71"/>
      <c r="R68" s="71"/>
      <c r="S68" s="71">
        <v>0.25</v>
      </c>
      <c r="T68" s="71"/>
      <c r="U68" s="342"/>
      <c r="V68" s="71">
        <v>0</v>
      </c>
      <c r="W68" s="71">
        <v>0</v>
      </c>
      <c r="X68" s="71"/>
      <c r="Y68" s="71"/>
      <c r="Z68" s="71"/>
      <c r="AA68" s="71"/>
      <c r="AB68" s="71"/>
      <c r="AC68" s="71"/>
      <c r="AD68" s="71"/>
      <c r="AE68" s="71"/>
      <c r="AF68" s="71"/>
      <c r="AG68" s="71"/>
      <c r="AH68" s="71"/>
      <c r="AI68" s="76"/>
    </row>
    <row r="69" spans="1:35">
      <c r="A69" s="59" t="s">
        <v>120</v>
      </c>
      <c r="B69" s="60" t="s">
        <v>129</v>
      </c>
      <c r="C69" s="61" t="s">
        <v>132</v>
      </c>
      <c r="D69" s="62" t="s">
        <v>27</v>
      </c>
      <c r="E69" s="63" t="str">
        <f>A69&amp;" "&amp;B69&amp;" "&amp;C69</f>
        <v>WSDOT 9-03.1(4)C Grading #67</v>
      </c>
      <c r="F69" s="63" t="str">
        <f t="shared" si="1"/>
        <v>WSDOT 9-03.1(4)C Grading #67 Max</v>
      </c>
      <c r="G69" s="89"/>
      <c r="H69" s="89"/>
      <c r="I69" s="86"/>
      <c r="J69" s="64"/>
      <c r="K69" s="64"/>
      <c r="L69" s="64"/>
      <c r="M69" s="64"/>
      <c r="N69" s="64"/>
      <c r="O69" s="64">
        <v>1</v>
      </c>
      <c r="P69" s="64"/>
      <c r="Q69" s="64">
        <v>1</v>
      </c>
      <c r="R69" s="64"/>
      <c r="S69" s="64"/>
      <c r="T69" s="64">
        <v>0.55000000000000004</v>
      </c>
      <c r="U69" s="341"/>
      <c r="V69" s="64">
        <v>0.1</v>
      </c>
      <c r="W69" s="64">
        <v>0.05</v>
      </c>
      <c r="X69" s="64"/>
      <c r="Y69" s="64"/>
      <c r="Z69" s="64"/>
      <c r="AA69" s="64"/>
      <c r="AB69" s="64"/>
      <c r="AC69" s="64"/>
      <c r="AD69" s="64"/>
      <c r="AE69" s="64"/>
      <c r="AF69" s="64"/>
      <c r="AG69" s="64"/>
      <c r="AH69" s="64"/>
      <c r="AI69" s="75"/>
    </row>
    <row r="70" spans="1:35">
      <c r="A70" s="65" t="s">
        <v>120</v>
      </c>
      <c r="B70" s="66" t="s">
        <v>129</v>
      </c>
      <c r="C70" s="74" t="s">
        <v>132</v>
      </c>
      <c r="D70" s="68" t="s">
        <v>26</v>
      </c>
      <c r="E70" s="69"/>
      <c r="F70" s="70" t="str">
        <f t="shared" si="1"/>
        <v>WSDOT 9-03.1(4)C Grading #67 Min</v>
      </c>
      <c r="G70" s="90"/>
      <c r="H70" s="90"/>
      <c r="I70" s="87"/>
      <c r="J70" s="71"/>
      <c r="K70" s="71"/>
      <c r="L70" s="71"/>
      <c r="M70" s="71"/>
      <c r="N70" s="71"/>
      <c r="O70" s="71">
        <v>1</v>
      </c>
      <c r="P70" s="71"/>
      <c r="Q70" s="71">
        <v>0.9</v>
      </c>
      <c r="R70" s="71"/>
      <c r="S70" s="71"/>
      <c r="T70" s="71">
        <v>0.2</v>
      </c>
      <c r="U70" s="342"/>
      <c r="V70" s="71">
        <v>0</v>
      </c>
      <c r="W70" s="71">
        <v>0</v>
      </c>
      <c r="X70" s="71"/>
      <c r="Y70" s="71"/>
      <c r="Z70" s="71"/>
      <c r="AA70" s="71"/>
      <c r="AB70" s="71"/>
      <c r="AC70" s="71"/>
      <c r="AD70" s="71"/>
      <c r="AE70" s="71"/>
      <c r="AF70" s="71"/>
      <c r="AG70" s="71"/>
      <c r="AH70" s="71"/>
      <c r="AI70" s="76"/>
    </row>
    <row r="71" spans="1:35">
      <c r="A71" s="59" t="s">
        <v>120</v>
      </c>
      <c r="B71" s="60" t="s">
        <v>129</v>
      </c>
      <c r="C71" s="61" t="s">
        <v>133</v>
      </c>
      <c r="D71" s="62" t="s">
        <v>27</v>
      </c>
      <c r="E71" s="63" t="str">
        <f>A71&amp;" "&amp;B71&amp;" "&amp;C71</f>
        <v>WSDOT 9-03.1(4)C Grading #7</v>
      </c>
      <c r="F71" s="63" t="str">
        <f t="shared" si="1"/>
        <v>WSDOT 9-03.1(4)C Grading #7 Max</v>
      </c>
      <c r="G71" s="89"/>
      <c r="H71" s="89"/>
      <c r="I71" s="86"/>
      <c r="J71" s="64"/>
      <c r="K71" s="64"/>
      <c r="L71" s="64"/>
      <c r="M71" s="64"/>
      <c r="N71" s="64"/>
      <c r="O71" s="64"/>
      <c r="P71" s="64"/>
      <c r="Q71" s="64">
        <v>1</v>
      </c>
      <c r="R71" s="64"/>
      <c r="S71" s="64">
        <v>1</v>
      </c>
      <c r="T71" s="64">
        <v>0.7</v>
      </c>
      <c r="U71" s="341"/>
      <c r="V71" s="64">
        <v>0.15</v>
      </c>
      <c r="W71" s="64">
        <v>0.05</v>
      </c>
      <c r="X71" s="64"/>
      <c r="Y71" s="64"/>
      <c r="Z71" s="64"/>
      <c r="AA71" s="64"/>
      <c r="AB71" s="64"/>
      <c r="AC71" s="64"/>
      <c r="AD71" s="64"/>
      <c r="AE71" s="64"/>
      <c r="AF71" s="64"/>
      <c r="AG71" s="64"/>
      <c r="AH71" s="64"/>
      <c r="AI71" s="75"/>
    </row>
    <row r="72" spans="1:35">
      <c r="A72" s="65" t="s">
        <v>120</v>
      </c>
      <c r="B72" s="66" t="s">
        <v>129</v>
      </c>
      <c r="C72" s="74" t="s">
        <v>133</v>
      </c>
      <c r="D72" s="68" t="s">
        <v>26</v>
      </c>
      <c r="E72" s="69"/>
      <c r="F72" s="70" t="str">
        <f t="shared" si="1"/>
        <v>WSDOT 9-03.1(4)C Grading #7 Min</v>
      </c>
      <c r="G72" s="90"/>
      <c r="H72" s="90"/>
      <c r="I72" s="87"/>
      <c r="J72" s="71"/>
      <c r="K72" s="71"/>
      <c r="L72" s="71"/>
      <c r="M72" s="71"/>
      <c r="N72" s="71"/>
      <c r="O72" s="71"/>
      <c r="P72" s="71"/>
      <c r="Q72" s="71">
        <v>1</v>
      </c>
      <c r="R72" s="71"/>
      <c r="S72" s="71">
        <v>0.9</v>
      </c>
      <c r="T72" s="71">
        <v>0.4</v>
      </c>
      <c r="U72" s="342"/>
      <c r="V72" s="71">
        <v>0</v>
      </c>
      <c r="W72" s="71">
        <v>0</v>
      </c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6"/>
    </row>
    <row r="73" spans="1:35">
      <c r="A73" s="59" t="s">
        <v>120</v>
      </c>
      <c r="B73" s="60" t="s">
        <v>129</v>
      </c>
      <c r="C73" s="61" t="s">
        <v>134</v>
      </c>
      <c r="D73" s="62" t="s">
        <v>27</v>
      </c>
      <c r="E73" s="63" t="str">
        <f>A73&amp;" "&amp;B73&amp;" "&amp;C73</f>
        <v>WSDOT 9-03.1(4)C Grading #8</v>
      </c>
      <c r="F73" s="63" t="str">
        <f t="shared" si="1"/>
        <v>WSDOT 9-03.1(4)C Grading #8 Max</v>
      </c>
      <c r="G73" s="89"/>
      <c r="H73" s="89"/>
      <c r="I73" s="86"/>
      <c r="J73" s="64"/>
      <c r="K73" s="64"/>
      <c r="L73" s="64"/>
      <c r="M73" s="64"/>
      <c r="N73" s="64"/>
      <c r="O73" s="64"/>
      <c r="P73" s="64"/>
      <c r="Q73" s="64"/>
      <c r="R73" s="64"/>
      <c r="S73" s="64">
        <v>1</v>
      </c>
      <c r="T73" s="64">
        <v>1</v>
      </c>
      <c r="U73" s="341"/>
      <c r="V73" s="64">
        <v>0.3</v>
      </c>
      <c r="W73" s="64">
        <v>0.1</v>
      </c>
      <c r="X73" s="64"/>
      <c r="Y73" s="64">
        <v>0.05</v>
      </c>
      <c r="Z73" s="64"/>
      <c r="AA73" s="64"/>
      <c r="AB73" s="64"/>
      <c r="AC73" s="64"/>
      <c r="AD73" s="64"/>
      <c r="AE73" s="64"/>
      <c r="AF73" s="64"/>
      <c r="AG73" s="64"/>
      <c r="AH73" s="64"/>
      <c r="AI73" s="75"/>
    </row>
    <row r="74" spans="1:35">
      <c r="A74" s="65" t="s">
        <v>120</v>
      </c>
      <c r="B74" s="66" t="s">
        <v>129</v>
      </c>
      <c r="C74" s="67" t="s">
        <v>134</v>
      </c>
      <c r="D74" s="68" t="s">
        <v>26</v>
      </c>
      <c r="E74" s="69"/>
      <c r="F74" s="70" t="str">
        <f t="shared" si="1"/>
        <v>WSDOT 9-03.1(4)C Grading #8 Min</v>
      </c>
      <c r="G74" s="90"/>
      <c r="H74" s="90"/>
      <c r="I74" s="87"/>
      <c r="J74" s="71"/>
      <c r="K74" s="71"/>
      <c r="L74" s="71"/>
      <c r="M74" s="71"/>
      <c r="N74" s="71"/>
      <c r="O74" s="71"/>
      <c r="P74" s="71"/>
      <c r="Q74" s="71"/>
      <c r="R74" s="71"/>
      <c r="S74" s="71">
        <v>1</v>
      </c>
      <c r="T74" s="71">
        <v>0.85</v>
      </c>
      <c r="U74" s="342"/>
      <c r="V74" s="71">
        <v>0.1</v>
      </c>
      <c r="W74" s="71">
        <v>0</v>
      </c>
      <c r="X74" s="71"/>
      <c r="Y74" s="71">
        <v>0</v>
      </c>
      <c r="Z74" s="71"/>
      <c r="AA74" s="71"/>
      <c r="AB74" s="71"/>
      <c r="AC74" s="71"/>
      <c r="AD74" s="71"/>
      <c r="AE74" s="71"/>
      <c r="AF74" s="71"/>
      <c r="AG74" s="71"/>
      <c r="AH74" s="71"/>
      <c r="AI74" s="76"/>
    </row>
    <row r="75" spans="1:35">
      <c r="A75" s="59" t="s">
        <v>120</v>
      </c>
      <c r="B75" s="60" t="s">
        <v>152</v>
      </c>
      <c r="C75" s="61" t="s">
        <v>153</v>
      </c>
      <c r="D75" s="62" t="s">
        <v>27</v>
      </c>
      <c r="E75" s="63" t="str">
        <f>A75&amp;" "&amp;B75&amp;" "&amp;C75</f>
        <v>WSDOT 9-03.4(2) Crushed Cover Stone</v>
      </c>
      <c r="F75" s="63" t="str">
        <f t="shared" si="1"/>
        <v>WSDOT 9-03.4(2) Crushed Cover Stone Max</v>
      </c>
      <c r="G75" s="89"/>
      <c r="H75" s="89"/>
      <c r="I75" s="86"/>
      <c r="J75" s="64"/>
      <c r="K75" s="64"/>
      <c r="L75" s="64"/>
      <c r="M75" s="64"/>
      <c r="N75" s="64"/>
      <c r="O75" s="64"/>
      <c r="P75" s="64"/>
      <c r="Q75" s="64">
        <v>1</v>
      </c>
      <c r="R75" s="64">
        <v>1</v>
      </c>
      <c r="S75" s="64"/>
      <c r="T75" s="64"/>
      <c r="U75" s="341"/>
      <c r="V75" s="64">
        <v>0.45</v>
      </c>
      <c r="W75" s="64"/>
      <c r="X75" s="64"/>
      <c r="Y75" s="64"/>
      <c r="Z75" s="64"/>
      <c r="AA75" s="64"/>
      <c r="AB75" s="64"/>
      <c r="AC75" s="64"/>
      <c r="AD75" s="64"/>
      <c r="AE75" s="64"/>
      <c r="AF75" s="64"/>
      <c r="AG75" s="64"/>
      <c r="AH75" s="64"/>
      <c r="AI75" s="75">
        <v>7.4999999999999997E-2</v>
      </c>
    </row>
    <row r="76" spans="1:35">
      <c r="A76" s="65" t="s">
        <v>120</v>
      </c>
      <c r="B76" s="66" t="s">
        <v>152</v>
      </c>
      <c r="C76" s="67" t="s">
        <v>153</v>
      </c>
      <c r="D76" s="68" t="s">
        <v>26</v>
      </c>
      <c r="E76" s="69"/>
      <c r="F76" s="70" t="str">
        <f t="shared" si="1"/>
        <v>WSDOT 9-03.4(2) Crushed Cover Stone Min</v>
      </c>
      <c r="G76" s="90"/>
      <c r="H76" s="90"/>
      <c r="I76" s="87"/>
      <c r="J76" s="71"/>
      <c r="K76" s="71"/>
      <c r="L76" s="71"/>
      <c r="M76" s="71"/>
      <c r="N76" s="71"/>
      <c r="O76" s="71"/>
      <c r="P76" s="71"/>
      <c r="Q76" s="71">
        <v>1</v>
      </c>
      <c r="R76" s="71">
        <v>0.95</v>
      </c>
      <c r="S76" s="71"/>
      <c r="T76" s="71"/>
      <c r="U76" s="342"/>
      <c r="V76" s="71">
        <v>0.2</v>
      </c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6">
        <v>0</v>
      </c>
    </row>
    <row r="77" spans="1:35">
      <c r="A77" s="59" t="s">
        <v>120</v>
      </c>
      <c r="B77" s="60" t="s">
        <v>152</v>
      </c>
      <c r="C77" s="61" t="s">
        <v>448</v>
      </c>
      <c r="D77" s="62" t="s">
        <v>27</v>
      </c>
      <c r="E77" s="63" t="str">
        <f>A77&amp;" "&amp;B77&amp;" "&amp;C77</f>
        <v>WSDOT 9-03.4(2) Crushed, 1/2" - #4</v>
      </c>
      <c r="F77" s="63" t="str">
        <f t="shared" si="1"/>
        <v>WSDOT 9-03.4(2) Crushed, 1/2" - #4 Max</v>
      </c>
      <c r="G77" s="89"/>
      <c r="H77" s="89"/>
      <c r="I77" s="86"/>
      <c r="J77" s="64"/>
      <c r="K77" s="64"/>
      <c r="L77" s="64"/>
      <c r="M77" s="64"/>
      <c r="N77" s="64"/>
      <c r="O77" s="64"/>
      <c r="P77" s="64"/>
      <c r="Q77" s="64"/>
      <c r="R77" s="64">
        <v>1</v>
      </c>
      <c r="S77" s="64">
        <v>1</v>
      </c>
      <c r="T77" s="64"/>
      <c r="U77" s="341"/>
      <c r="V77" s="64"/>
      <c r="W77" s="64"/>
      <c r="X77" s="64">
        <v>0.03</v>
      </c>
      <c r="Y77" s="64"/>
      <c r="Z77" s="64"/>
      <c r="AA77" s="64"/>
      <c r="AB77" s="64"/>
      <c r="AC77" s="64"/>
      <c r="AD77" s="64"/>
      <c r="AE77" s="64"/>
      <c r="AF77" s="64"/>
      <c r="AG77" s="64"/>
      <c r="AH77" s="64"/>
      <c r="AI77" s="75">
        <v>0.01</v>
      </c>
    </row>
    <row r="78" spans="1:35">
      <c r="A78" s="65" t="s">
        <v>120</v>
      </c>
      <c r="B78" s="66" t="s">
        <v>152</v>
      </c>
      <c r="C78" s="67" t="s">
        <v>448</v>
      </c>
      <c r="D78" s="68" t="s">
        <v>26</v>
      </c>
      <c r="E78" s="69"/>
      <c r="F78" s="70" t="str">
        <f t="shared" si="1"/>
        <v>WSDOT 9-03.4(2) Crushed, 1/2" - #4 Min</v>
      </c>
      <c r="G78" s="90"/>
      <c r="H78" s="90"/>
      <c r="I78" s="87"/>
      <c r="J78" s="71"/>
      <c r="K78" s="71"/>
      <c r="L78" s="71"/>
      <c r="M78" s="71"/>
      <c r="N78" s="71"/>
      <c r="O78" s="71"/>
      <c r="P78" s="71"/>
      <c r="Q78" s="71"/>
      <c r="R78" s="71">
        <v>1</v>
      </c>
      <c r="S78" s="71">
        <v>0.95</v>
      </c>
      <c r="T78" s="71"/>
      <c r="U78" s="342"/>
      <c r="V78" s="71"/>
      <c r="W78" s="71"/>
      <c r="X78" s="71">
        <v>0</v>
      </c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6">
        <v>0</v>
      </c>
    </row>
    <row r="79" spans="1:35">
      <c r="A79" s="59" t="s">
        <v>120</v>
      </c>
      <c r="B79" s="60" t="s">
        <v>152</v>
      </c>
      <c r="C79" s="61" t="s">
        <v>449</v>
      </c>
      <c r="D79" s="62" t="s">
        <v>27</v>
      </c>
      <c r="E79" s="63" t="str">
        <f>A79&amp;" "&amp;B79&amp;" "&amp;C79</f>
        <v>WSDOT 9-03.4(2) Crushed, #4 - 0"</v>
      </c>
      <c r="F79" s="63" t="str">
        <f t="shared" si="1"/>
        <v>WSDOT 9-03.4(2) Crushed, #4 - 0" Max</v>
      </c>
      <c r="G79" s="89"/>
      <c r="H79" s="89"/>
      <c r="I79" s="86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>
        <v>1</v>
      </c>
      <c r="U79" s="341"/>
      <c r="V79" s="64">
        <v>1</v>
      </c>
      <c r="W79" s="64"/>
      <c r="X79" s="64">
        <v>0.6</v>
      </c>
      <c r="Y79" s="64"/>
      <c r="Z79" s="64"/>
      <c r="AA79" s="64"/>
      <c r="AB79" s="64"/>
      <c r="AC79" s="64"/>
      <c r="AD79" s="64"/>
      <c r="AE79" s="64"/>
      <c r="AF79" s="64"/>
      <c r="AG79" s="64"/>
      <c r="AH79" s="64"/>
      <c r="AI79" s="75">
        <v>0.1</v>
      </c>
    </row>
    <row r="80" spans="1:35">
      <c r="A80" s="65" t="s">
        <v>120</v>
      </c>
      <c r="B80" s="66" t="s">
        <v>152</v>
      </c>
      <c r="C80" s="67" t="s">
        <v>449</v>
      </c>
      <c r="D80" s="68" t="s">
        <v>26</v>
      </c>
      <c r="E80" s="69"/>
      <c r="F80" s="70" t="str">
        <f t="shared" si="1"/>
        <v>WSDOT 9-03.4(2) Crushed, #4 - 0" Min</v>
      </c>
      <c r="G80" s="90"/>
      <c r="H80" s="90"/>
      <c r="I80" s="87"/>
      <c r="J80" s="71"/>
      <c r="K80" s="71"/>
      <c r="L80" s="71"/>
      <c r="M80" s="71"/>
      <c r="N80" s="71"/>
      <c r="O80" s="71"/>
      <c r="P80" s="71"/>
      <c r="Q80" s="71"/>
      <c r="R80" s="71"/>
      <c r="S80" s="71"/>
      <c r="T80" s="71">
        <v>1</v>
      </c>
      <c r="U80" s="342"/>
      <c r="V80" s="71">
        <v>0.76</v>
      </c>
      <c r="W80" s="71"/>
      <c r="X80" s="71">
        <v>0.3</v>
      </c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6">
        <v>0</v>
      </c>
    </row>
    <row r="81" spans="1:35">
      <c r="A81" s="59" t="s">
        <v>120</v>
      </c>
      <c r="B81" s="60" t="s">
        <v>152</v>
      </c>
      <c r="C81" s="61" t="s">
        <v>154</v>
      </c>
      <c r="D81" s="62" t="s">
        <v>27</v>
      </c>
      <c r="E81" s="63" t="str">
        <f>A81&amp;" "&amp;B81&amp;" "&amp;C81</f>
        <v>WSDOT 9-03.4(2) Crushed, 3/4" - 1/2"</v>
      </c>
      <c r="F81" s="63" t="str">
        <f t="shared" si="1"/>
        <v>WSDOT 9-03.4(2) Crushed, 3/4" - 1/2" Max</v>
      </c>
      <c r="G81" s="89"/>
      <c r="H81" s="89"/>
      <c r="I81" s="86"/>
      <c r="J81" s="64"/>
      <c r="K81" s="64"/>
      <c r="L81" s="64"/>
      <c r="M81" s="64"/>
      <c r="N81" s="64"/>
      <c r="O81" s="64">
        <v>1</v>
      </c>
      <c r="P81" s="64"/>
      <c r="Q81" s="64">
        <v>1</v>
      </c>
      <c r="R81" s="64"/>
      <c r="S81" s="64">
        <v>0.2</v>
      </c>
      <c r="T81" s="64">
        <v>0.05</v>
      </c>
      <c r="U81" s="341"/>
      <c r="V81" s="64"/>
      <c r="W81" s="64"/>
      <c r="X81" s="64"/>
      <c r="Y81" s="64"/>
      <c r="Z81" s="64"/>
      <c r="AA81" s="64"/>
      <c r="AB81" s="64"/>
      <c r="AC81" s="64"/>
      <c r="AD81" s="64"/>
      <c r="AE81" s="64"/>
      <c r="AF81" s="64"/>
      <c r="AG81" s="64"/>
      <c r="AH81" s="64"/>
      <c r="AI81" s="75">
        <v>0.01</v>
      </c>
    </row>
    <row r="82" spans="1:35">
      <c r="A82" s="65" t="s">
        <v>120</v>
      </c>
      <c r="B82" s="66" t="s">
        <v>152</v>
      </c>
      <c r="C82" s="67" t="s">
        <v>154</v>
      </c>
      <c r="D82" s="68" t="s">
        <v>26</v>
      </c>
      <c r="E82" s="69"/>
      <c r="F82" s="70" t="str">
        <f t="shared" si="1"/>
        <v>WSDOT 9-03.4(2) Crushed, 3/4" - 1/2" Min</v>
      </c>
      <c r="G82" s="90"/>
      <c r="H82" s="90"/>
      <c r="I82" s="87"/>
      <c r="J82" s="71"/>
      <c r="K82" s="71"/>
      <c r="L82" s="71"/>
      <c r="M82" s="71"/>
      <c r="N82" s="71"/>
      <c r="O82" s="71">
        <v>1</v>
      </c>
      <c r="P82" s="71"/>
      <c r="Q82" s="71">
        <v>0.95</v>
      </c>
      <c r="R82" s="71"/>
      <c r="S82" s="71">
        <v>0</v>
      </c>
      <c r="T82" s="71">
        <v>0</v>
      </c>
      <c r="U82" s="342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6">
        <v>0</v>
      </c>
    </row>
    <row r="83" spans="1:35">
      <c r="A83" s="59" t="s">
        <v>120</v>
      </c>
      <c r="B83" s="60" t="s">
        <v>152</v>
      </c>
      <c r="C83" s="61" t="s">
        <v>155</v>
      </c>
      <c r="D83" s="62" t="s">
        <v>26</v>
      </c>
      <c r="E83" s="63" t="str">
        <f>A83&amp;" "&amp;B83&amp;" "&amp;C83</f>
        <v>WSDOT 9-03.4(2) Crushed, 3/8" - #10</v>
      </c>
      <c r="F83" s="63" t="str">
        <f t="shared" si="1"/>
        <v>WSDOT 9-03.4(2) Crushed, 3/8" - #10 Min</v>
      </c>
      <c r="G83" s="89"/>
      <c r="H83" s="89"/>
      <c r="I83" s="86"/>
      <c r="J83" s="64"/>
      <c r="K83" s="64"/>
      <c r="L83" s="64"/>
      <c r="M83" s="64"/>
      <c r="N83" s="64"/>
      <c r="O83" s="64"/>
      <c r="P83" s="64"/>
      <c r="Q83" s="64"/>
      <c r="R83" s="64"/>
      <c r="S83" s="64">
        <v>1</v>
      </c>
      <c r="T83" s="64">
        <v>0.9</v>
      </c>
      <c r="U83" s="341"/>
      <c r="V83" s="64">
        <v>0.56000000000000005</v>
      </c>
      <c r="W83" s="64"/>
      <c r="X83" s="64">
        <v>0</v>
      </c>
      <c r="Y83" s="64"/>
      <c r="Z83" s="64"/>
      <c r="AA83" s="64"/>
      <c r="AB83" s="64"/>
      <c r="AC83" s="64"/>
      <c r="AD83" s="64"/>
      <c r="AE83" s="64"/>
      <c r="AF83" s="64"/>
      <c r="AG83" s="64"/>
      <c r="AH83" s="64"/>
      <c r="AI83" s="75">
        <v>0</v>
      </c>
    </row>
    <row r="84" spans="1:35">
      <c r="A84" s="65" t="s">
        <v>120</v>
      </c>
      <c r="B84" s="66" t="s">
        <v>152</v>
      </c>
      <c r="C84" s="67" t="s">
        <v>156</v>
      </c>
      <c r="D84" s="68" t="s">
        <v>27</v>
      </c>
      <c r="E84" s="69"/>
      <c r="F84" s="70" t="str">
        <f t="shared" si="1"/>
        <v>WSDOT 9-03.4(2) Crushed, 3/8" - #11 Max</v>
      </c>
      <c r="G84" s="90"/>
      <c r="H84" s="90"/>
      <c r="I84" s="87"/>
      <c r="J84" s="71"/>
      <c r="K84" s="71"/>
      <c r="L84" s="71"/>
      <c r="M84" s="71"/>
      <c r="N84" s="71"/>
      <c r="O84" s="71"/>
      <c r="P84" s="71"/>
      <c r="Q84" s="71"/>
      <c r="R84" s="71"/>
      <c r="S84" s="71">
        <v>1</v>
      </c>
      <c r="T84" s="71">
        <v>1</v>
      </c>
      <c r="U84" s="342"/>
      <c r="V84" s="71">
        <v>0.3</v>
      </c>
      <c r="W84" s="71"/>
      <c r="X84" s="71">
        <v>0.1</v>
      </c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6">
        <v>0.1</v>
      </c>
    </row>
    <row r="85" spans="1:35">
      <c r="A85" s="59" t="s">
        <v>120</v>
      </c>
      <c r="B85" s="60" t="s">
        <v>152</v>
      </c>
      <c r="C85" s="61" t="s">
        <v>450</v>
      </c>
      <c r="D85" s="62" t="s">
        <v>27</v>
      </c>
      <c r="E85" s="63" t="str">
        <f>A85&amp;" "&amp;B85&amp;" "&amp;C85</f>
        <v>WSDOT 9-03.4(2) Crushed, 5/8" - #4</v>
      </c>
      <c r="F85" s="63" t="str">
        <f t="shared" si="1"/>
        <v>WSDOT 9-03.4(2) Crushed, 5/8" - #4 Max</v>
      </c>
      <c r="G85" s="89"/>
      <c r="H85" s="89"/>
      <c r="I85" s="86"/>
      <c r="J85" s="64"/>
      <c r="K85" s="64"/>
      <c r="L85" s="64"/>
      <c r="M85" s="64"/>
      <c r="N85" s="64"/>
      <c r="O85" s="64"/>
      <c r="P85" s="64"/>
      <c r="Q85" s="64">
        <v>1</v>
      </c>
      <c r="R85" s="64">
        <v>1</v>
      </c>
      <c r="S85" s="64"/>
      <c r="T85" s="64"/>
      <c r="U85" s="341"/>
      <c r="V85" s="64">
        <v>0.1</v>
      </c>
      <c r="W85" s="64"/>
      <c r="X85" s="64">
        <v>0.03</v>
      </c>
      <c r="Y85" s="64"/>
      <c r="Z85" s="64"/>
      <c r="AA85" s="64"/>
      <c r="AB85" s="64"/>
      <c r="AC85" s="64"/>
      <c r="AD85" s="64"/>
      <c r="AE85" s="64"/>
      <c r="AF85" s="64"/>
      <c r="AG85" s="64"/>
      <c r="AH85" s="64"/>
      <c r="AI85" s="75">
        <v>0.01</v>
      </c>
    </row>
    <row r="86" spans="1:35">
      <c r="A86" s="65" t="s">
        <v>120</v>
      </c>
      <c r="B86" s="66" t="s">
        <v>152</v>
      </c>
      <c r="C86" s="67" t="s">
        <v>450</v>
      </c>
      <c r="D86" s="68" t="s">
        <v>26</v>
      </c>
      <c r="E86" s="69"/>
      <c r="F86" s="70" t="str">
        <f t="shared" si="1"/>
        <v>WSDOT 9-03.4(2) Crushed, 5/8" - #4 Min</v>
      </c>
      <c r="G86" s="90"/>
      <c r="H86" s="90"/>
      <c r="I86" s="87"/>
      <c r="J86" s="71"/>
      <c r="K86" s="71"/>
      <c r="L86" s="71"/>
      <c r="M86" s="71"/>
      <c r="N86" s="71"/>
      <c r="O86" s="71"/>
      <c r="P86" s="71"/>
      <c r="Q86" s="71">
        <v>1</v>
      </c>
      <c r="R86" s="71">
        <v>0.95</v>
      </c>
      <c r="S86" s="71"/>
      <c r="T86" s="71"/>
      <c r="U86" s="342"/>
      <c r="V86" s="71">
        <v>0</v>
      </c>
      <c r="W86" s="71"/>
      <c r="X86" s="71">
        <v>0</v>
      </c>
      <c r="Y86" s="71"/>
      <c r="Z86" s="71"/>
      <c r="AA86" s="71"/>
      <c r="AB86" s="71"/>
      <c r="AC86" s="71"/>
      <c r="AD86" s="71"/>
      <c r="AE86" s="71"/>
      <c r="AF86" s="71"/>
      <c r="AG86" s="71"/>
      <c r="AH86" s="71"/>
      <c r="AI86" s="76">
        <v>0</v>
      </c>
    </row>
    <row r="87" spans="1:35">
      <c r="A87" s="59" t="s">
        <v>120</v>
      </c>
      <c r="B87" s="60" t="s">
        <v>157</v>
      </c>
      <c r="C87" s="61" t="s">
        <v>411</v>
      </c>
      <c r="D87" s="62" t="s">
        <v>27</v>
      </c>
      <c r="E87" s="63" t="str">
        <f>A87&amp;" "&amp;B87&amp;" "&amp;C87</f>
        <v>WSDOT 9-03.6(2) Asphalt Treated Base</v>
      </c>
      <c r="F87" s="63" t="str">
        <f t="shared" si="1"/>
        <v>WSDOT 9-03.6(2) Asphalt Treated Base Max</v>
      </c>
      <c r="G87" s="89"/>
      <c r="H87" s="89"/>
      <c r="I87" s="86"/>
      <c r="J87" s="64"/>
      <c r="K87" s="64">
        <v>1</v>
      </c>
      <c r="L87" s="64"/>
      <c r="M87" s="64"/>
      <c r="N87" s="64"/>
      <c r="O87" s="64"/>
      <c r="P87" s="64"/>
      <c r="Q87" s="64"/>
      <c r="R87" s="64"/>
      <c r="S87" s="64">
        <v>1</v>
      </c>
      <c r="T87" s="64"/>
      <c r="U87" s="341"/>
      <c r="V87" s="64">
        <v>0.72</v>
      </c>
      <c r="W87" s="64"/>
      <c r="X87" s="64">
        <v>0.56999999999999995</v>
      </c>
      <c r="Y87" s="64"/>
      <c r="Z87" s="64"/>
      <c r="AA87" s="64"/>
      <c r="AB87" s="64">
        <v>0.32</v>
      </c>
      <c r="AC87" s="64"/>
      <c r="AD87" s="64"/>
      <c r="AE87" s="64"/>
      <c r="AF87" s="64"/>
      <c r="AG87" s="64"/>
      <c r="AH87" s="64"/>
      <c r="AI87" s="75">
        <v>0.09</v>
      </c>
    </row>
    <row r="88" spans="1:35">
      <c r="A88" s="65" t="s">
        <v>120</v>
      </c>
      <c r="B88" s="66" t="s">
        <v>157</v>
      </c>
      <c r="C88" s="67" t="s">
        <v>411</v>
      </c>
      <c r="D88" s="68" t="s">
        <v>26</v>
      </c>
      <c r="E88" s="69"/>
      <c r="F88" s="70" t="str">
        <f t="shared" si="1"/>
        <v>WSDOT 9-03.6(2) Asphalt Treated Base Min</v>
      </c>
      <c r="G88" s="90"/>
      <c r="H88" s="90"/>
      <c r="I88" s="87"/>
      <c r="J88" s="71"/>
      <c r="K88" s="71">
        <v>1</v>
      </c>
      <c r="L88" s="71"/>
      <c r="M88" s="71"/>
      <c r="N88" s="71"/>
      <c r="O88" s="71"/>
      <c r="P88" s="71"/>
      <c r="Q88" s="71"/>
      <c r="R88" s="71"/>
      <c r="S88" s="71">
        <v>0.56000000000000005</v>
      </c>
      <c r="T88" s="71"/>
      <c r="U88" s="342"/>
      <c r="V88" s="71">
        <v>0.32</v>
      </c>
      <c r="W88" s="71"/>
      <c r="X88" s="71">
        <v>0.22</v>
      </c>
      <c r="Y88" s="71"/>
      <c r="Z88" s="71"/>
      <c r="AA88" s="71"/>
      <c r="AB88" s="71">
        <v>0.08</v>
      </c>
      <c r="AC88" s="71"/>
      <c r="AD88" s="71"/>
      <c r="AE88" s="71"/>
      <c r="AF88" s="71"/>
      <c r="AG88" s="71"/>
      <c r="AH88" s="71"/>
      <c r="AI88" s="76">
        <v>0.02</v>
      </c>
    </row>
    <row r="89" spans="1:35">
      <c r="A89" s="59" t="s">
        <v>120</v>
      </c>
      <c r="B89" s="60" t="s">
        <v>158</v>
      </c>
      <c r="C89" s="61" t="s">
        <v>405</v>
      </c>
      <c r="D89" s="62" t="s">
        <v>27</v>
      </c>
      <c r="E89" s="63" t="str">
        <f>A89&amp;" "&amp;B89&amp;" "&amp;C89</f>
        <v>WSDOT 9-03.8(6) Class A Asphalt</v>
      </c>
      <c r="F89" s="63" t="str">
        <f t="shared" si="1"/>
        <v>WSDOT 9-03.8(6) Class A Asphalt Max</v>
      </c>
      <c r="G89" s="89"/>
      <c r="H89" s="89"/>
      <c r="I89" s="86"/>
      <c r="J89" s="64"/>
      <c r="K89" s="64"/>
      <c r="L89" s="64"/>
      <c r="M89" s="64"/>
      <c r="N89" s="64"/>
      <c r="O89" s="64"/>
      <c r="P89" s="64"/>
      <c r="Q89" s="64">
        <v>1</v>
      </c>
      <c r="R89" s="64"/>
      <c r="S89" s="64">
        <v>1</v>
      </c>
      <c r="T89" s="64">
        <v>0.9</v>
      </c>
      <c r="U89" s="341"/>
      <c r="V89" s="64">
        <v>0.66</v>
      </c>
      <c r="W89" s="64"/>
      <c r="X89" s="64">
        <v>0.42</v>
      </c>
      <c r="Y89" s="64"/>
      <c r="Z89" s="64"/>
      <c r="AA89" s="64"/>
      <c r="AB89" s="64">
        <v>0.24</v>
      </c>
      <c r="AC89" s="64"/>
      <c r="AD89" s="64"/>
      <c r="AE89" s="64"/>
      <c r="AF89" s="64"/>
      <c r="AG89" s="64"/>
      <c r="AH89" s="64"/>
      <c r="AI89" s="75">
        <v>7.0000000000000007E-2</v>
      </c>
    </row>
    <row r="90" spans="1:35">
      <c r="A90" s="65" t="s">
        <v>120</v>
      </c>
      <c r="B90" s="66" t="s">
        <v>158</v>
      </c>
      <c r="C90" s="67" t="s">
        <v>405</v>
      </c>
      <c r="D90" s="68" t="s">
        <v>26</v>
      </c>
      <c r="E90" s="69"/>
      <c r="F90" s="70" t="str">
        <f t="shared" si="1"/>
        <v>WSDOT 9-03.8(6) Class A Asphalt Min</v>
      </c>
      <c r="G90" s="90"/>
      <c r="H90" s="90"/>
      <c r="I90" s="87"/>
      <c r="J90" s="71"/>
      <c r="K90" s="71"/>
      <c r="L90" s="71"/>
      <c r="M90" s="71"/>
      <c r="N90" s="71"/>
      <c r="O90" s="71"/>
      <c r="P90" s="71"/>
      <c r="Q90" s="71">
        <v>1</v>
      </c>
      <c r="R90" s="71"/>
      <c r="S90" s="71">
        <v>0.9</v>
      </c>
      <c r="T90" s="71">
        <v>0.75</v>
      </c>
      <c r="U90" s="342"/>
      <c r="V90" s="71">
        <v>0.46</v>
      </c>
      <c r="W90" s="71"/>
      <c r="X90" s="71">
        <v>0.3</v>
      </c>
      <c r="Y90" s="71"/>
      <c r="Z90" s="71"/>
      <c r="AA90" s="71"/>
      <c r="AB90" s="71">
        <v>0.11</v>
      </c>
      <c r="AC90" s="71"/>
      <c r="AD90" s="71"/>
      <c r="AE90" s="71"/>
      <c r="AF90" s="71"/>
      <c r="AG90" s="71"/>
      <c r="AH90" s="71"/>
      <c r="AI90" s="76">
        <v>0.03</v>
      </c>
    </row>
    <row r="91" spans="1:35">
      <c r="A91" s="59" t="s">
        <v>120</v>
      </c>
      <c r="B91" s="60" t="s">
        <v>158</v>
      </c>
      <c r="C91" s="61" t="s">
        <v>406</v>
      </c>
      <c r="D91" s="62" t="s">
        <v>27</v>
      </c>
      <c r="E91" s="63" t="str">
        <f>A91&amp;" "&amp;B91&amp;" "&amp;C91</f>
        <v>WSDOT 9-03.8(6) Class B Asphalt</v>
      </c>
      <c r="F91" s="63" t="str">
        <f t="shared" si="1"/>
        <v>WSDOT 9-03.8(6) Class B Asphalt Max</v>
      </c>
      <c r="G91" s="89"/>
      <c r="H91" s="89"/>
      <c r="I91" s="86"/>
      <c r="J91" s="64"/>
      <c r="K91" s="64"/>
      <c r="L91" s="64"/>
      <c r="M91" s="64"/>
      <c r="N91" s="64"/>
      <c r="O91" s="64"/>
      <c r="P91" s="64"/>
      <c r="Q91" s="64">
        <v>1</v>
      </c>
      <c r="R91" s="64"/>
      <c r="S91" s="64">
        <v>1</v>
      </c>
      <c r="T91" s="64">
        <v>0.9</v>
      </c>
      <c r="U91" s="341"/>
      <c r="V91" s="64">
        <v>0.66</v>
      </c>
      <c r="W91" s="64"/>
      <c r="X91" s="64">
        <v>0.42</v>
      </c>
      <c r="Y91" s="64"/>
      <c r="Z91" s="64"/>
      <c r="AA91" s="64"/>
      <c r="AB91" s="64">
        <v>0.24</v>
      </c>
      <c r="AC91" s="64"/>
      <c r="AD91" s="64"/>
      <c r="AE91" s="64"/>
      <c r="AF91" s="64"/>
      <c r="AG91" s="64"/>
      <c r="AH91" s="64"/>
      <c r="AI91" s="75">
        <v>7.0000000000000007E-2</v>
      </c>
    </row>
    <row r="92" spans="1:35">
      <c r="A92" s="65" t="s">
        <v>120</v>
      </c>
      <c r="B92" s="66" t="s">
        <v>158</v>
      </c>
      <c r="C92" s="67" t="s">
        <v>406</v>
      </c>
      <c r="D92" s="68" t="s">
        <v>26</v>
      </c>
      <c r="E92" s="69"/>
      <c r="F92" s="70" t="str">
        <f t="shared" si="1"/>
        <v>WSDOT 9-03.8(6) Class B Asphalt Min</v>
      </c>
      <c r="G92" s="90"/>
      <c r="H92" s="90"/>
      <c r="I92" s="87"/>
      <c r="J92" s="71"/>
      <c r="K92" s="71"/>
      <c r="L92" s="71"/>
      <c r="M92" s="71"/>
      <c r="N92" s="71"/>
      <c r="O92" s="71"/>
      <c r="P92" s="71"/>
      <c r="Q92" s="71">
        <v>1</v>
      </c>
      <c r="R92" s="71"/>
      <c r="S92" s="71">
        <v>0.9</v>
      </c>
      <c r="T92" s="71">
        <v>0.75</v>
      </c>
      <c r="U92" s="342"/>
      <c r="V92" s="71">
        <v>0.46</v>
      </c>
      <c r="W92" s="71"/>
      <c r="X92" s="71">
        <v>0.3</v>
      </c>
      <c r="Y92" s="71"/>
      <c r="Z92" s="71"/>
      <c r="AA92" s="71"/>
      <c r="AB92" s="71">
        <v>0.11</v>
      </c>
      <c r="AC92" s="71"/>
      <c r="AD92" s="71"/>
      <c r="AE92" s="71"/>
      <c r="AF92" s="71"/>
      <c r="AG92" s="71"/>
      <c r="AH92" s="71"/>
      <c r="AI92" s="76">
        <v>0.03</v>
      </c>
    </row>
    <row r="93" spans="1:35">
      <c r="A93" s="59" t="s">
        <v>120</v>
      </c>
      <c r="B93" s="60" t="s">
        <v>158</v>
      </c>
      <c r="C93" s="61" t="s">
        <v>407</v>
      </c>
      <c r="D93" s="62" t="s">
        <v>27</v>
      </c>
      <c r="E93" s="63" t="str">
        <f>A93&amp;" "&amp;B93&amp;" "&amp;C93</f>
        <v>WSDOT 9-03.8(6) Class D Asphalt</v>
      </c>
      <c r="F93" s="63" t="str">
        <f t="shared" si="1"/>
        <v>WSDOT 9-03.8(6) Class D Asphalt Max</v>
      </c>
      <c r="G93" s="89"/>
      <c r="H93" s="89"/>
      <c r="I93" s="86"/>
      <c r="J93" s="64"/>
      <c r="K93" s="64"/>
      <c r="L93" s="64"/>
      <c r="M93" s="64"/>
      <c r="N93" s="64"/>
      <c r="O93" s="64"/>
      <c r="P93" s="64"/>
      <c r="Q93" s="64"/>
      <c r="R93" s="64"/>
      <c r="S93" s="64">
        <v>1</v>
      </c>
      <c r="T93" s="64">
        <v>1</v>
      </c>
      <c r="U93" s="341"/>
      <c r="V93" s="64">
        <v>0.5</v>
      </c>
      <c r="W93" s="64">
        <v>0.15</v>
      </c>
      <c r="X93" s="64"/>
      <c r="Y93" s="64"/>
      <c r="Z93" s="64"/>
      <c r="AA93" s="64"/>
      <c r="AB93" s="64"/>
      <c r="AC93" s="64"/>
      <c r="AD93" s="64"/>
      <c r="AE93" s="64"/>
      <c r="AF93" s="64"/>
      <c r="AG93" s="64"/>
      <c r="AH93" s="64"/>
      <c r="AI93" s="75">
        <v>0.05</v>
      </c>
    </row>
    <row r="94" spans="1:35">
      <c r="A94" s="65" t="s">
        <v>120</v>
      </c>
      <c r="B94" s="66" t="s">
        <v>158</v>
      </c>
      <c r="C94" s="67" t="s">
        <v>407</v>
      </c>
      <c r="D94" s="68" t="s">
        <v>26</v>
      </c>
      <c r="E94" s="69"/>
      <c r="F94" s="70" t="str">
        <f t="shared" si="1"/>
        <v>WSDOT 9-03.8(6) Class D Asphalt Min</v>
      </c>
      <c r="G94" s="90"/>
      <c r="H94" s="90"/>
      <c r="I94" s="87"/>
      <c r="J94" s="71"/>
      <c r="K94" s="71"/>
      <c r="L94" s="71"/>
      <c r="M94" s="71"/>
      <c r="N94" s="71"/>
      <c r="O94" s="71"/>
      <c r="P94" s="71"/>
      <c r="Q94" s="71"/>
      <c r="R94" s="71"/>
      <c r="S94" s="71">
        <v>1</v>
      </c>
      <c r="T94" s="71">
        <v>0.97</v>
      </c>
      <c r="U94" s="342"/>
      <c r="V94" s="71">
        <v>0.3</v>
      </c>
      <c r="W94" s="71">
        <v>0.05</v>
      </c>
      <c r="X94" s="71"/>
      <c r="Y94" s="71"/>
      <c r="Z94" s="71"/>
      <c r="AA94" s="71"/>
      <c r="AB94" s="71"/>
      <c r="AC94" s="71"/>
      <c r="AD94" s="71"/>
      <c r="AE94" s="71"/>
      <c r="AF94" s="71"/>
      <c r="AG94" s="71"/>
      <c r="AH94" s="71"/>
      <c r="AI94" s="76">
        <v>0.02</v>
      </c>
    </row>
    <row r="95" spans="1:35">
      <c r="A95" s="59" t="s">
        <v>120</v>
      </c>
      <c r="B95" s="60" t="s">
        <v>158</v>
      </c>
      <c r="C95" s="61" t="s">
        <v>408</v>
      </c>
      <c r="D95" s="62" t="s">
        <v>27</v>
      </c>
      <c r="E95" s="63" t="str">
        <f>A95&amp;" "&amp;B95&amp;" "&amp;C95</f>
        <v>WSDOT 9-03.8(6) Class E Asphalt</v>
      </c>
      <c r="F95" s="63" t="str">
        <f t="shared" si="1"/>
        <v>WSDOT 9-03.8(6) Class E Asphalt Max</v>
      </c>
      <c r="G95" s="89"/>
      <c r="H95" s="89"/>
      <c r="I95" s="86"/>
      <c r="J95" s="64"/>
      <c r="K95" s="64"/>
      <c r="L95" s="64"/>
      <c r="M95" s="64"/>
      <c r="N95" s="64">
        <v>1</v>
      </c>
      <c r="O95" s="64">
        <v>1</v>
      </c>
      <c r="P95" s="64"/>
      <c r="Q95" s="64"/>
      <c r="R95" s="64">
        <v>0.86</v>
      </c>
      <c r="S95" s="64">
        <v>0.8</v>
      </c>
      <c r="T95" s="64"/>
      <c r="U95" s="341"/>
      <c r="V95" s="64">
        <v>0.56000000000000005</v>
      </c>
      <c r="W95" s="64"/>
      <c r="X95" s="64">
        <v>0.4</v>
      </c>
      <c r="Y95" s="64"/>
      <c r="Z95" s="64"/>
      <c r="AA95" s="64"/>
      <c r="AB95" s="64">
        <v>0.23</v>
      </c>
      <c r="AC95" s="64"/>
      <c r="AD95" s="64"/>
      <c r="AE95" s="64"/>
      <c r="AF95" s="64"/>
      <c r="AG95" s="64"/>
      <c r="AH95" s="64"/>
      <c r="AI95" s="75">
        <v>0.09</v>
      </c>
    </row>
    <row r="96" spans="1:35">
      <c r="A96" s="65" t="s">
        <v>120</v>
      </c>
      <c r="B96" s="66" t="s">
        <v>158</v>
      </c>
      <c r="C96" s="67" t="s">
        <v>408</v>
      </c>
      <c r="D96" s="68" t="s">
        <v>26</v>
      </c>
      <c r="E96" s="69"/>
      <c r="F96" s="70" t="str">
        <f t="shared" si="1"/>
        <v>WSDOT 9-03.8(6) Class E Asphalt Min</v>
      </c>
      <c r="G96" s="90"/>
      <c r="H96" s="90"/>
      <c r="I96" s="87"/>
      <c r="J96" s="71"/>
      <c r="K96" s="71"/>
      <c r="L96" s="71"/>
      <c r="M96" s="71"/>
      <c r="N96" s="71">
        <v>1</v>
      </c>
      <c r="O96" s="71">
        <v>0.9</v>
      </c>
      <c r="P96" s="71"/>
      <c r="Q96" s="71"/>
      <c r="R96" s="71">
        <v>0.67</v>
      </c>
      <c r="S96" s="71">
        <v>0.6</v>
      </c>
      <c r="T96" s="71"/>
      <c r="U96" s="342"/>
      <c r="V96" s="71">
        <v>0.34</v>
      </c>
      <c r="W96" s="71"/>
      <c r="X96" s="71">
        <v>0.25</v>
      </c>
      <c r="Y96" s="71"/>
      <c r="Z96" s="71"/>
      <c r="AA96" s="71"/>
      <c r="AB96" s="71">
        <v>0.1</v>
      </c>
      <c r="AC96" s="71"/>
      <c r="AD96" s="71"/>
      <c r="AE96" s="71"/>
      <c r="AF96" s="71"/>
      <c r="AG96" s="71"/>
      <c r="AH96" s="71"/>
      <c r="AI96" s="76">
        <v>0.02</v>
      </c>
    </row>
    <row r="97" spans="1:35">
      <c r="A97" s="59" t="s">
        <v>120</v>
      </c>
      <c r="B97" s="60" t="s">
        <v>158</v>
      </c>
      <c r="C97" s="61" t="s">
        <v>409</v>
      </c>
      <c r="D97" s="62" t="s">
        <v>27</v>
      </c>
      <c r="E97" s="63" t="str">
        <f>A97&amp;" "&amp;B97&amp;" "&amp;C97</f>
        <v>WSDOT 9-03.8(6) Class F Asphalt</v>
      </c>
      <c r="F97" s="63" t="str">
        <f t="shared" si="1"/>
        <v>WSDOT 9-03.8(6) Class F Asphalt Max</v>
      </c>
      <c r="G97" s="89"/>
      <c r="H97" s="89"/>
      <c r="I97" s="86"/>
      <c r="J97" s="64"/>
      <c r="K97" s="64"/>
      <c r="L97" s="64"/>
      <c r="M97" s="64"/>
      <c r="N97" s="64"/>
      <c r="O97" s="64"/>
      <c r="P97" s="64"/>
      <c r="Q97" s="64">
        <v>1</v>
      </c>
      <c r="R97" s="64"/>
      <c r="S97" s="64">
        <v>1</v>
      </c>
      <c r="T97" s="64"/>
      <c r="U97" s="341"/>
      <c r="V97" s="64">
        <v>0.7</v>
      </c>
      <c r="W97" s="64"/>
      <c r="X97" s="64">
        <v>0.5</v>
      </c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75">
        <v>0.08</v>
      </c>
    </row>
    <row r="98" spans="1:35">
      <c r="A98" s="65" t="s">
        <v>120</v>
      </c>
      <c r="B98" s="66" t="s">
        <v>158</v>
      </c>
      <c r="C98" s="67" t="s">
        <v>409</v>
      </c>
      <c r="D98" s="68" t="s">
        <v>26</v>
      </c>
      <c r="E98" s="69"/>
      <c r="F98" s="70" t="str">
        <f t="shared" si="1"/>
        <v>WSDOT 9-03.8(6) Class F Asphalt Min</v>
      </c>
      <c r="G98" s="90"/>
      <c r="H98" s="90"/>
      <c r="I98" s="87"/>
      <c r="J98" s="71"/>
      <c r="K98" s="71"/>
      <c r="L98" s="71"/>
      <c r="M98" s="71"/>
      <c r="N98" s="71"/>
      <c r="O98" s="71"/>
      <c r="P98" s="71"/>
      <c r="Q98" s="71">
        <v>1</v>
      </c>
      <c r="R98" s="71"/>
      <c r="S98" s="71">
        <v>0.8</v>
      </c>
      <c r="T98" s="71"/>
      <c r="U98" s="342"/>
      <c r="V98" s="71">
        <v>0.38</v>
      </c>
      <c r="W98" s="71"/>
      <c r="X98" s="71">
        <v>0.3</v>
      </c>
      <c r="Y98" s="71"/>
      <c r="Z98" s="71"/>
      <c r="AA98" s="71"/>
      <c r="AB98" s="71"/>
      <c r="AC98" s="71"/>
      <c r="AD98" s="71"/>
      <c r="AE98" s="71"/>
      <c r="AF98" s="71"/>
      <c r="AG98" s="71"/>
      <c r="AH98" s="71"/>
      <c r="AI98" s="76">
        <v>0.02</v>
      </c>
    </row>
    <row r="99" spans="1:35">
      <c r="A99" s="59" t="s">
        <v>120</v>
      </c>
      <c r="B99" s="60" t="s">
        <v>158</v>
      </c>
      <c r="C99" s="61" t="s">
        <v>410</v>
      </c>
      <c r="D99" s="62" t="s">
        <v>27</v>
      </c>
      <c r="E99" s="63" t="str">
        <f>A99&amp;" "&amp;B99&amp;" "&amp;C99</f>
        <v>WSDOT 9-03.8(6) Class G Asphalt</v>
      </c>
      <c r="F99" s="63" t="str">
        <f t="shared" ref="F99:F130" si="2">A99&amp;" "&amp;B99&amp;" "&amp;C99&amp;" "&amp;D99</f>
        <v>WSDOT 9-03.8(6) Class G Asphalt Max</v>
      </c>
      <c r="G99" s="89"/>
      <c r="H99" s="89"/>
      <c r="I99" s="86"/>
      <c r="J99" s="64"/>
      <c r="K99" s="64"/>
      <c r="L99" s="64"/>
      <c r="M99" s="64"/>
      <c r="N99" s="64"/>
      <c r="O99" s="64"/>
      <c r="P99" s="64"/>
      <c r="Q99" s="64"/>
      <c r="R99" s="64"/>
      <c r="S99" s="64">
        <v>1</v>
      </c>
      <c r="T99" s="64">
        <v>1</v>
      </c>
      <c r="U99" s="341"/>
      <c r="V99" s="64">
        <v>0.78</v>
      </c>
      <c r="W99" s="64"/>
      <c r="X99" s="64">
        <v>0.53</v>
      </c>
      <c r="Y99" s="64"/>
      <c r="Z99" s="64"/>
      <c r="AA99" s="64"/>
      <c r="AB99" s="64">
        <v>0.24</v>
      </c>
      <c r="AC99" s="64"/>
      <c r="AD99" s="64"/>
      <c r="AE99" s="64"/>
      <c r="AF99" s="64"/>
      <c r="AG99" s="64"/>
      <c r="AH99" s="64"/>
      <c r="AI99" s="75">
        <v>7.0000000000000007E-2</v>
      </c>
    </row>
    <row r="100" spans="1:35">
      <c r="A100" s="65" t="s">
        <v>120</v>
      </c>
      <c r="B100" s="66" t="s">
        <v>158</v>
      </c>
      <c r="C100" s="67" t="s">
        <v>410</v>
      </c>
      <c r="D100" s="68" t="s">
        <v>26</v>
      </c>
      <c r="E100" s="69"/>
      <c r="F100" s="70" t="str">
        <f t="shared" si="2"/>
        <v>WSDOT 9-03.8(6) Class G Asphalt Min</v>
      </c>
      <c r="G100" s="90"/>
      <c r="H100" s="90"/>
      <c r="I100" s="87"/>
      <c r="J100" s="71"/>
      <c r="K100" s="71"/>
      <c r="L100" s="71"/>
      <c r="M100" s="71"/>
      <c r="N100" s="71"/>
      <c r="O100" s="71"/>
      <c r="P100" s="71"/>
      <c r="Q100" s="71"/>
      <c r="R100" s="71"/>
      <c r="S100" s="71">
        <v>1</v>
      </c>
      <c r="T100" s="71">
        <v>0.97</v>
      </c>
      <c r="U100" s="342"/>
      <c r="V100" s="71">
        <v>0.5</v>
      </c>
      <c r="W100" s="71"/>
      <c r="X100" s="71">
        <v>0.32</v>
      </c>
      <c r="Y100" s="71"/>
      <c r="Z100" s="71"/>
      <c r="AA100" s="71"/>
      <c r="AB100" s="71">
        <v>0.11</v>
      </c>
      <c r="AC100" s="71"/>
      <c r="AD100" s="71"/>
      <c r="AE100" s="71"/>
      <c r="AF100" s="71"/>
      <c r="AG100" s="71"/>
      <c r="AH100" s="71"/>
      <c r="AI100" s="76">
        <v>0.03</v>
      </c>
    </row>
    <row r="101" spans="1:35">
      <c r="A101" s="59" t="s">
        <v>120</v>
      </c>
      <c r="B101" s="60" t="s">
        <v>159</v>
      </c>
      <c r="C101" s="61" t="s">
        <v>160</v>
      </c>
      <c r="D101" s="62" t="s">
        <v>27</v>
      </c>
      <c r="E101" s="63" t="str">
        <f>A101&amp;" "&amp;B101&amp;" "&amp;C101</f>
        <v>WSDOT 9-03.9(1) Ballast</v>
      </c>
      <c r="F101" s="63" t="str">
        <f t="shared" si="2"/>
        <v>WSDOT 9-03.9(1) Ballast Max</v>
      </c>
      <c r="G101" s="89"/>
      <c r="H101" s="89"/>
      <c r="I101" s="86"/>
      <c r="J101" s="64">
        <v>1</v>
      </c>
      <c r="K101" s="64">
        <v>1</v>
      </c>
      <c r="L101" s="64"/>
      <c r="M101" s="64"/>
      <c r="N101" s="64"/>
      <c r="O101" s="64">
        <v>0.85</v>
      </c>
      <c r="P101" s="64"/>
      <c r="Q101" s="64"/>
      <c r="R101" s="64"/>
      <c r="S101" s="64"/>
      <c r="T101" s="64"/>
      <c r="U101" s="341"/>
      <c r="V101" s="64">
        <v>0.44</v>
      </c>
      <c r="W101" s="64"/>
      <c r="X101" s="64"/>
      <c r="Y101" s="64"/>
      <c r="Z101" s="64"/>
      <c r="AA101" s="64"/>
      <c r="AB101" s="64">
        <v>0.16</v>
      </c>
      <c r="AC101" s="64"/>
      <c r="AD101" s="64"/>
      <c r="AE101" s="64"/>
      <c r="AF101" s="64"/>
      <c r="AG101" s="64"/>
      <c r="AH101" s="64"/>
      <c r="AI101" s="75">
        <v>0.09</v>
      </c>
    </row>
    <row r="102" spans="1:35">
      <c r="A102" s="65" t="s">
        <v>120</v>
      </c>
      <c r="B102" s="66" t="s">
        <v>159</v>
      </c>
      <c r="C102" s="67" t="s">
        <v>160</v>
      </c>
      <c r="D102" s="68" t="s">
        <v>26</v>
      </c>
      <c r="E102" s="69"/>
      <c r="F102" s="70" t="str">
        <f t="shared" si="2"/>
        <v>WSDOT 9-03.9(1) Ballast Min</v>
      </c>
      <c r="G102" s="90"/>
      <c r="H102" s="90"/>
      <c r="I102" s="87"/>
      <c r="J102" s="71">
        <v>1</v>
      </c>
      <c r="K102" s="71">
        <v>0.65</v>
      </c>
      <c r="L102" s="71"/>
      <c r="M102" s="71"/>
      <c r="N102" s="71"/>
      <c r="O102" s="71">
        <v>0.5</v>
      </c>
      <c r="P102" s="71"/>
      <c r="Q102" s="71"/>
      <c r="R102" s="71"/>
      <c r="S102" s="71"/>
      <c r="T102" s="71"/>
      <c r="U102" s="342"/>
      <c r="V102" s="71">
        <v>0.26</v>
      </c>
      <c r="W102" s="71"/>
      <c r="X102" s="71"/>
      <c r="Y102" s="71"/>
      <c r="Z102" s="71"/>
      <c r="AA102" s="71"/>
      <c r="AB102" s="71">
        <v>0</v>
      </c>
      <c r="AC102" s="71"/>
      <c r="AD102" s="71"/>
      <c r="AE102" s="71"/>
      <c r="AF102" s="71"/>
      <c r="AG102" s="71"/>
      <c r="AH102" s="71"/>
      <c r="AI102" s="76">
        <v>0</v>
      </c>
    </row>
    <row r="103" spans="1:35">
      <c r="A103" s="59" t="s">
        <v>120</v>
      </c>
      <c r="B103" s="60" t="s">
        <v>161</v>
      </c>
      <c r="C103" s="61" t="s">
        <v>162</v>
      </c>
      <c r="D103" s="62" t="s">
        <v>27</v>
      </c>
      <c r="E103" s="63" t="str">
        <f>A103&amp;" "&amp;B103&amp;" "&amp;C103</f>
        <v>WSDOT 9-03.9(2) Shoulder Ballast</v>
      </c>
      <c r="F103" s="63" t="str">
        <f t="shared" si="2"/>
        <v>WSDOT 9-03.9(2) Shoulder Ballast Max</v>
      </c>
      <c r="G103" s="89"/>
      <c r="H103" s="89"/>
      <c r="I103" s="86"/>
      <c r="J103" s="64">
        <v>1</v>
      </c>
      <c r="K103" s="64"/>
      <c r="L103" s="64"/>
      <c r="M103" s="64"/>
      <c r="N103" s="64"/>
      <c r="O103" s="64"/>
      <c r="P103" s="64"/>
      <c r="Q103" s="64">
        <v>0.8</v>
      </c>
      <c r="R103" s="64"/>
      <c r="S103" s="64"/>
      <c r="T103" s="64"/>
      <c r="U103" s="341"/>
      <c r="V103" s="64">
        <v>0.05</v>
      </c>
      <c r="W103" s="64"/>
      <c r="X103" s="64"/>
      <c r="Y103" s="64"/>
      <c r="Z103" s="64"/>
      <c r="AA103" s="64"/>
      <c r="AB103" s="64"/>
      <c r="AC103" s="64"/>
      <c r="AD103" s="64"/>
      <c r="AE103" s="64"/>
      <c r="AF103" s="64">
        <v>0.02</v>
      </c>
      <c r="AG103" s="64"/>
      <c r="AH103" s="64"/>
      <c r="AI103" s="75"/>
    </row>
    <row r="104" spans="1:35">
      <c r="A104" s="65" t="s">
        <v>120</v>
      </c>
      <c r="B104" s="66" t="s">
        <v>161</v>
      </c>
      <c r="C104" s="67" t="s">
        <v>162</v>
      </c>
      <c r="D104" s="68" t="s">
        <v>26</v>
      </c>
      <c r="E104" s="69"/>
      <c r="F104" s="70" t="str">
        <f t="shared" si="2"/>
        <v>WSDOT 9-03.9(2) Shoulder Ballast Min</v>
      </c>
      <c r="G104" s="90"/>
      <c r="H104" s="90"/>
      <c r="I104" s="87"/>
      <c r="J104" s="71">
        <v>1</v>
      </c>
      <c r="K104" s="71"/>
      <c r="L104" s="71"/>
      <c r="M104" s="71"/>
      <c r="N104" s="71"/>
      <c r="O104" s="71"/>
      <c r="P104" s="71"/>
      <c r="Q104" s="71">
        <v>0.4</v>
      </c>
      <c r="R104" s="71"/>
      <c r="S104" s="71"/>
      <c r="T104" s="71"/>
      <c r="U104" s="342"/>
      <c r="V104" s="71">
        <v>0</v>
      </c>
      <c r="W104" s="71"/>
      <c r="X104" s="71"/>
      <c r="Y104" s="71"/>
      <c r="Z104" s="71"/>
      <c r="AA104" s="71"/>
      <c r="AB104" s="71"/>
      <c r="AC104" s="71"/>
      <c r="AD104" s="71"/>
      <c r="AE104" s="71"/>
      <c r="AF104" s="71">
        <v>0</v>
      </c>
      <c r="AG104" s="71"/>
      <c r="AH104" s="71"/>
      <c r="AI104" s="76"/>
    </row>
    <row r="105" spans="1:35">
      <c r="A105" s="59" t="s">
        <v>120</v>
      </c>
      <c r="B105" s="60" t="s">
        <v>163</v>
      </c>
      <c r="C105" s="61" t="s">
        <v>164</v>
      </c>
      <c r="D105" s="62" t="s">
        <v>27</v>
      </c>
      <c r="E105" s="63" t="str">
        <f>A105&amp;" "&amp;B105&amp;" "&amp;C105</f>
        <v>WSDOT 9-03.9(3) Base Course</v>
      </c>
      <c r="F105" s="63" t="str">
        <f t="shared" si="2"/>
        <v>WSDOT 9-03.9(3) Base Course Max</v>
      </c>
      <c r="G105" s="89"/>
      <c r="H105" s="89"/>
      <c r="I105" s="86"/>
      <c r="J105" s="64"/>
      <c r="K105" s="64"/>
      <c r="L105" s="64"/>
      <c r="M105" s="64"/>
      <c r="N105" s="64">
        <v>1</v>
      </c>
      <c r="O105" s="64"/>
      <c r="P105" s="64"/>
      <c r="Q105" s="64"/>
      <c r="R105" s="64">
        <v>0.8</v>
      </c>
      <c r="S105" s="64"/>
      <c r="T105" s="64"/>
      <c r="U105" s="341"/>
      <c r="V105" s="64">
        <v>0.45</v>
      </c>
      <c r="W105" s="64"/>
      <c r="X105" s="64"/>
      <c r="Y105" s="64"/>
      <c r="Z105" s="64"/>
      <c r="AA105" s="64"/>
      <c r="AB105" s="64">
        <v>0.18</v>
      </c>
      <c r="AC105" s="64"/>
      <c r="AD105" s="64"/>
      <c r="AE105" s="64"/>
      <c r="AF105" s="64"/>
      <c r="AG105" s="64"/>
      <c r="AH105" s="64"/>
      <c r="AI105" s="75">
        <v>7.4999999999999997E-2</v>
      </c>
    </row>
    <row r="106" spans="1:35">
      <c r="A106" s="65" t="s">
        <v>120</v>
      </c>
      <c r="B106" s="66" t="s">
        <v>163</v>
      </c>
      <c r="C106" s="67" t="s">
        <v>164</v>
      </c>
      <c r="D106" s="68" t="s">
        <v>26</v>
      </c>
      <c r="E106" s="69"/>
      <c r="F106" s="70" t="str">
        <f t="shared" si="2"/>
        <v>WSDOT 9-03.9(3) Base Course Min</v>
      </c>
      <c r="G106" s="90"/>
      <c r="H106" s="90"/>
      <c r="I106" s="87"/>
      <c r="J106" s="71"/>
      <c r="K106" s="71"/>
      <c r="L106" s="71"/>
      <c r="M106" s="71"/>
      <c r="N106" s="71">
        <v>1</v>
      </c>
      <c r="O106" s="71"/>
      <c r="P106" s="71"/>
      <c r="Q106" s="71"/>
      <c r="R106" s="71">
        <v>0.5</v>
      </c>
      <c r="S106" s="71"/>
      <c r="T106" s="71"/>
      <c r="U106" s="342"/>
      <c r="V106" s="71">
        <v>0.25</v>
      </c>
      <c r="W106" s="71"/>
      <c r="X106" s="71"/>
      <c r="Y106" s="71"/>
      <c r="Z106" s="71"/>
      <c r="AA106" s="71"/>
      <c r="AB106" s="71">
        <v>0.03</v>
      </c>
      <c r="AC106" s="71"/>
      <c r="AD106" s="71"/>
      <c r="AE106" s="71"/>
      <c r="AF106" s="71"/>
      <c r="AG106" s="71"/>
      <c r="AH106" s="71"/>
      <c r="AI106" s="76">
        <v>0</v>
      </c>
    </row>
    <row r="107" spans="1:35">
      <c r="A107" s="59" t="s">
        <v>120</v>
      </c>
      <c r="B107" s="60" t="s">
        <v>163</v>
      </c>
      <c r="C107" s="61" t="s">
        <v>165</v>
      </c>
      <c r="D107" s="62" t="s">
        <v>27</v>
      </c>
      <c r="E107" s="63" t="str">
        <f>A107&amp;" "&amp;B107&amp;" "&amp;C107</f>
        <v>WSDOT 9-03.9(3) Top Course</v>
      </c>
      <c r="F107" s="63" t="str">
        <f t="shared" si="2"/>
        <v>WSDOT 9-03.9(3) Top Course Max</v>
      </c>
      <c r="G107" s="89"/>
      <c r="H107" s="89"/>
      <c r="I107" s="86"/>
      <c r="J107" s="64"/>
      <c r="K107" s="64"/>
      <c r="L107" s="64"/>
      <c r="M107" s="64"/>
      <c r="N107" s="64"/>
      <c r="O107" s="64"/>
      <c r="P107" s="64"/>
      <c r="Q107" s="64">
        <v>1</v>
      </c>
      <c r="R107" s="64"/>
      <c r="S107" s="64"/>
      <c r="T107" s="64"/>
      <c r="U107" s="341"/>
      <c r="V107" s="64">
        <v>0.66</v>
      </c>
      <c r="W107" s="64"/>
      <c r="X107" s="64"/>
      <c r="Y107" s="64"/>
      <c r="Z107" s="64"/>
      <c r="AA107" s="64"/>
      <c r="AB107" s="64">
        <v>0.24</v>
      </c>
      <c r="AC107" s="64"/>
      <c r="AD107" s="64"/>
      <c r="AE107" s="64"/>
      <c r="AF107" s="64"/>
      <c r="AG107" s="64"/>
      <c r="AH107" s="64"/>
      <c r="AI107" s="75">
        <v>0.1</v>
      </c>
    </row>
    <row r="108" spans="1:35">
      <c r="A108" s="65" t="s">
        <v>120</v>
      </c>
      <c r="B108" s="66" t="s">
        <v>163</v>
      </c>
      <c r="C108" s="67" t="s">
        <v>165</v>
      </c>
      <c r="D108" s="68" t="s">
        <v>26</v>
      </c>
      <c r="E108" s="69"/>
      <c r="F108" s="70" t="str">
        <f t="shared" si="2"/>
        <v>WSDOT 9-03.9(3) Top Course Min</v>
      </c>
      <c r="G108" s="90"/>
      <c r="H108" s="90"/>
      <c r="I108" s="87"/>
      <c r="J108" s="71"/>
      <c r="K108" s="71"/>
      <c r="L108" s="71"/>
      <c r="M108" s="71"/>
      <c r="N108" s="71"/>
      <c r="O108" s="71"/>
      <c r="P108" s="71"/>
      <c r="Q108" s="71">
        <v>1</v>
      </c>
      <c r="R108" s="71"/>
      <c r="S108" s="71"/>
      <c r="T108" s="71"/>
      <c r="U108" s="342"/>
      <c r="V108" s="71">
        <v>0.46</v>
      </c>
      <c r="W108" s="71"/>
      <c r="X108" s="71"/>
      <c r="Y108" s="71"/>
      <c r="Z108" s="71"/>
      <c r="AA108" s="71"/>
      <c r="AB108" s="71">
        <v>0.08</v>
      </c>
      <c r="AC108" s="71"/>
      <c r="AD108" s="71"/>
      <c r="AE108" s="71"/>
      <c r="AF108" s="71"/>
      <c r="AG108" s="71"/>
      <c r="AH108" s="71"/>
      <c r="AI108" s="76">
        <v>0</v>
      </c>
    </row>
    <row r="109" spans="1:35">
      <c r="A109" s="59" t="s">
        <v>120</v>
      </c>
      <c r="B109" s="60" t="s">
        <v>166</v>
      </c>
      <c r="C109" s="61" t="s">
        <v>167</v>
      </c>
      <c r="D109" s="62" t="s">
        <v>27</v>
      </c>
      <c r="E109" s="63" t="str">
        <f>A109&amp;" "&amp;B109&amp;" "&amp;C109</f>
        <v>WSDOT 9-03.9(4) Maintenance Rock</v>
      </c>
      <c r="F109" s="63" t="str">
        <f t="shared" si="2"/>
        <v>WSDOT 9-03.9(4) Maintenance Rock Max</v>
      </c>
      <c r="G109" s="89"/>
      <c r="H109" s="89"/>
      <c r="I109" s="86"/>
      <c r="J109" s="64"/>
      <c r="K109" s="64"/>
      <c r="L109" s="64"/>
      <c r="M109" s="64"/>
      <c r="N109" s="64"/>
      <c r="O109" s="64"/>
      <c r="P109" s="64"/>
      <c r="Q109" s="64"/>
      <c r="R109" s="64"/>
      <c r="S109" s="64">
        <v>1</v>
      </c>
      <c r="T109" s="64"/>
      <c r="U109" s="341"/>
      <c r="V109" s="64">
        <v>0.66</v>
      </c>
      <c r="W109" s="64"/>
      <c r="X109" s="64"/>
      <c r="Y109" s="64"/>
      <c r="Z109" s="64"/>
      <c r="AA109" s="64"/>
      <c r="AB109" s="64">
        <v>0.25</v>
      </c>
      <c r="AC109" s="64"/>
      <c r="AD109" s="64"/>
      <c r="AE109" s="64"/>
      <c r="AF109" s="64"/>
      <c r="AG109" s="64"/>
      <c r="AH109" s="64"/>
      <c r="AI109" s="75">
        <v>7.0000000000000007E-2</v>
      </c>
    </row>
    <row r="110" spans="1:35">
      <c r="A110" s="65" t="s">
        <v>120</v>
      </c>
      <c r="B110" s="66" t="s">
        <v>166</v>
      </c>
      <c r="C110" s="67" t="s">
        <v>167</v>
      </c>
      <c r="D110" s="68" t="s">
        <v>26</v>
      </c>
      <c r="E110" s="69"/>
      <c r="F110" s="70" t="str">
        <f t="shared" si="2"/>
        <v>WSDOT 9-03.9(4) Maintenance Rock Min</v>
      </c>
      <c r="G110" s="90"/>
      <c r="H110" s="90"/>
      <c r="I110" s="87"/>
      <c r="J110" s="71"/>
      <c r="K110" s="71"/>
      <c r="L110" s="71"/>
      <c r="M110" s="71"/>
      <c r="N110" s="71"/>
      <c r="O110" s="71"/>
      <c r="P110" s="71"/>
      <c r="Q110" s="71"/>
      <c r="R110" s="71"/>
      <c r="S110" s="71">
        <v>1</v>
      </c>
      <c r="T110" s="71"/>
      <c r="U110" s="342"/>
      <c r="V110" s="71">
        <v>0.45</v>
      </c>
      <c r="W110" s="71"/>
      <c r="X110" s="71"/>
      <c r="Y110" s="71"/>
      <c r="Z110" s="71"/>
      <c r="AA110" s="71"/>
      <c r="AB110" s="71">
        <v>0.1</v>
      </c>
      <c r="AC110" s="71"/>
      <c r="AD110" s="71"/>
      <c r="AE110" s="71"/>
      <c r="AF110" s="71"/>
      <c r="AG110" s="71"/>
      <c r="AH110" s="71"/>
      <c r="AI110" s="76">
        <v>0</v>
      </c>
    </row>
    <row r="111" spans="1:35">
      <c r="A111" s="59" t="s">
        <v>120</v>
      </c>
      <c r="B111" s="60" t="s">
        <v>135</v>
      </c>
      <c r="C111" s="61" t="s">
        <v>136</v>
      </c>
      <c r="D111" s="62" t="s">
        <v>27</v>
      </c>
      <c r="E111" s="63" t="str">
        <f>A111&amp;" "&amp;B111&amp;" "&amp;C111</f>
        <v>WSDOT 9-03.10 Gravel Base</v>
      </c>
      <c r="F111" s="63" t="str">
        <f t="shared" si="2"/>
        <v>WSDOT 9-03.10 Gravel Base Max</v>
      </c>
      <c r="G111" s="89"/>
      <c r="H111" s="89"/>
      <c r="I111" s="86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341"/>
      <c r="V111" s="64">
        <v>1</v>
      </c>
      <c r="W111" s="64"/>
      <c r="X111" s="64"/>
      <c r="Y111" s="64"/>
      <c r="Z111" s="64"/>
      <c r="AA111" s="64"/>
      <c r="AB111" s="64"/>
      <c r="AC111" s="64"/>
      <c r="AD111" s="64"/>
      <c r="AE111" s="64"/>
      <c r="AF111" s="64"/>
      <c r="AG111" s="64"/>
      <c r="AH111" s="64"/>
      <c r="AI111" s="75">
        <v>0.1</v>
      </c>
    </row>
    <row r="112" spans="1:35">
      <c r="A112" s="65" t="s">
        <v>120</v>
      </c>
      <c r="B112" s="66" t="s">
        <v>135</v>
      </c>
      <c r="C112" s="67" t="s">
        <v>136</v>
      </c>
      <c r="D112" s="68" t="s">
        <v>26</v>
      </c>
      <c r="E112" s="69"/>
      <c r="F112" s="70" t="str">
        <f t="shared" si="2"/>
        <v>WSDOT 9-03.10 Gravel Base Min</v>
      </c>
      <c r="G112" s="90"/>
      <c r="H112" s="90"/>
      <c r="I112" s="87"/>
      <c r="J112" s="71"/>
      <c r="K112" s="71"/>
      <c r="L112" s="71"/>
      <c r="M112" s="71"/>
      <c r="N112" s="71"/>
      <c r="O112" s="71"/>
      <c r="P112" s="71"/>
      <c r="Q112" s="71"/>
      <c r="R112" s="71"/>
      <c r="S112" s="71"/>
      <c r="T112" s="71"/>
      <c r="U112" s="342"/>
      <c r="V112" s="71">
        <v>0.22</v>
      </c>
      <c r="W112" s="71"/>
      <c r="X112" s="71"/>
      <c r="Y112" s="71"/>
      <c r="Z112" s="71"/>
      <c r="AA112" s="71"/>
      <c r="AB112" s="71"/>
      <c r="AC112" s="71"/>
      <c r="AD112" s="71"/>
      <c r="AE112" s="71"/>
      <c r="AF112" s="71"/>
      <c r="AG112" s="71"/>
      <c r="AH112" s="71"/>
      <c r="AI112" s="76">
        <v>0</v>
      </c>
    </row>
    <row r="113" spans="1:35">
      <c r="A113" s="59" t="s">
        <v>120</v>
      </c>
      <c r="B113" s="60" t="s">
        <v>137</v>
      </c>
      <c r="C113" s="61" t="s">
        <v>138</v>
      </c>
      <c r="D113" s="62" t="s">
        <v>27</v>
      </c>
      <c r="E113" s="63" t="str">
        <f>A113&amp;" "&amp;B113&amp;" "&amp;C113</f>
        <v>WSDOT 9-03.12(1)B Backfill for Foundations, Class B</v>
      </c>
      <c r="F113" s="63" t="str">
        <f t="shared" si="2"/>
        <v>WSDOT 9-03.12(1)B Backfill for Foundations, Class B Max</v>
      </c>
      <c r="G113" s="89"/>
      <c r="H113" s="89"/>
      <c r="I113" s="86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341"/>
      <c r="V113" s="64">
        <v>1</v>
      </c>
      <c r="W113" s="64"/>
      <c r="X113" s="64"/>
      <c r="Y113" s="64"/>
      <c r="Z113" s="64"/>
      <c r="AA113" s="64"/>
      <c r="AB113" s="64"/>
      <c r="AC113" s="64"/>
      <c r="AD113" s="64"/>
      <c r="AE113" s="64"/>
      <c r="AF113" s="64"/>
      <c r="AG113" s="64"/>
      <c r="AH113" s="64"/>
      <c r="AI113" s="75">
        <v>0.1</v>
      </c>
    </row>
    <row r="114" spans="1:35">
      <c r="A114" s="65" t="s">
        <v>120</v>
      </c>
      <c r="B114" s="66" t="s">
        <v>137</v>
      </c>
      <c r="C114" s="67" t="s">
        <v>138</v>
      </c>
      <c r="D114" s="68" t="s">
        <v>26</v>
      </c>
      <c r="E114" s="69"/>
      <c r="F114" s="70" t="str">
        <f t="shared" si="2"/>
        <v>WSDOT 9-03.12(1)B Backfill for Foundations, Class B Min</v>
      </c>
      <c r="G114" s="90"/>
      <c r="H114" s="90"/>
      <c r="I114" s="87"/>
      <c r="J114" s="71"/>
      <c r="K114" s="71"/>
      <c r="L114" s="71"/>
      <c r="M114" s="71"/>
      <c r="N114" s="71"/>
      <c r="O114" s="71"/>
      <c r="P114" s="71"/>
      <c r="Q114" s="71"/>
      <c r="R114" s="71"/>
      <c r="S114" s="71"/>
      <c r="T114" s="71"/>
      <c r="U114" s="342"/>
      <c r="V114" s="71">
        <v>0.22</v>
      </c>
      <c r="W114" s="71"/>
      <c r="X114" s="71"/>
      <c r="Y114" s="71"/>
      <c r="Z114" s="71"/>
      <c r="AA114" s="71"/>
      <c r="AB114" s="71"/>
      <c r="AC114" s="71"/>
      <c r="AD114" s="71"/>
      <c r="AE114" s="71"/>
      <c r="AF114" s="71"/>
      <c r="AG114" s="71"/>
      <c r="AH114" s="71"/>
      <c r="AI114" s="76">
        <v>0</v>
      </c>
    </row>
    <row r="115" spans="1:35">
      <c r="A115" s="59" t="s">
        <v>120</v>
      </c>
      <c r="B115" s="60" t="s">
        <v>139</v>
      </c>
      <c r="C115" s="61" t="s">
        <v>140</v>
      </c>
      <c r="D115" s="62" t="s">
        <v>27</v>
      </c>
      <c r="E115" s="63" t="str">
        <f>A115&amp;" "&amp;B115&amp;" "&amp;C115</f>
        <v>WSDOT 9-03.12(2) Backfill for Walls</v>
      </c>
      <c r="F115" s="63" t="str">
        <f t="shared" si="2"/>
        <v>WSDOT 9-03.12(2) Backfill for Walls Max</v>
      </c>
      <c r="G115" s="89"/>
      <c r="H115" s="89">
        <v>1</v>
      </c>
      <c r="I115" s="86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341"/>
      <c r="V115" s="64">
        <v>0.66</v>
      </c>
      <c r="W115" s="64"/>
      <c r="X115" s="64"/>
      <c r="Y115" s="64"/>
      <c r="Z115" s="64"/>
      <c r="AA115" s="64"/>
      <c r="AB115" s="64"/>
      <c r="AC115" s="64"/>
      <c r="AD115" s="64"/>
      <c r="AE115" s="64"/>
      <c r="AF115" s="64"/>
      <c r="AG115" s="64"/>
      <c r="AH115" s="64"/>
      <c r="AI115" s="75">
        <v>0.05</v>
      </c>
    </row>
    <row r="116" spans="1:35">
      <c r="A116" s="65" t="s">
        <v>120</v>
      </c>
      <c r="B116" s="66" t="s">
        <v>139</v>
      </c>
      <c r="C116" s="67" t="s">
        <v>140</v>
      </c>
      <c r="D116" s="68" t="s">
        <v>26</v>
      </c>
      <c r="E116" s="69"/>
      <c r="F116" s="70" t="str">
        <f t="shared" si="2"/>
        <v>WSDOT 9-03.12(2) Backfill for Walls Min</v>
      </c>
      <c r="G116" s="90"/>
      <c r="H116" s="90">
        <v>1</v>
      </c>
      <c r="I116" s="87"/>
      <c r="J116" s="71"/>
      <c r="K116" s="71"/>
      <c r="L116" s="71"/>
      <c r="M116" s="71"/>
      <c r="N116" s="71"/>
      <c r="O116" s="71"/>
      <c r="P116" s="71"/>
      <c r="Q116" s="71"/>
      <c r="R116" s="71"/>
      <c r="S116" s="71"/>
      <c r="T116" s="71"/>
      <c r="U116" s="342"/>
      <c r="V116" s="71">
        <v>0.22</v>
      </c>
      <c r="W116" s="71"/>
      <c r="X116" s="71"/>
      <c r="Y116" s="71"/>
      <c r="Z116" s="71"/>
      <c r="AA116" s="71"/>
      <c r="AB116" s="71"/>
      <c r="AC116" s="71"/>
      <c r="AD116" s="71"/>
      <c r="AE116" s="71"/>
      <c r="AF116" s="71"/>
      <c r="AG116" s="71"/>
      <c r="AH116" s="71"/>
      <c r="AI116" s="76">
        <v>0</v>
      </c>
    </row>
    <row r="117" spans="1:35">
      <c r="A117" s="59" t="s">
        <v>120</v>
      </c>
      <c r="B117" s="60" t="s">
        <v>141</v>
      </c>
      <c r="C117" s="61" t="s">
        <v>142</v>
      </c>
      <c r="D117" s="62" t="s">
        <v>27</v>
      </c>
      <c r="E117" s="63" t="str">
        <f>A117&amp;" "&amp;B117&amp;" "&amp;C117</f>
        <v>WSDOT 9-03.12(3) Backfill for Pipe Bedding</v>
      </c>
      <c r="F117" s="77" t="str">
        <f t="shared" si="2"/>
        <v>WSDOT 9-03.12(3) Backfill for Pipe Bedding Max</v>
      </c>
      <c r="I117" s="84"/>
      <c r="J117" s="50"/>
      <c r="K117" s="50"/>
      <c r="L117" s="50"/>
      <c r="M117" s="50"/>
      <c r="N117" s="50"/>
      <c r="O117" s="50">
        <v>1</v>
      </c>
      <c r="P117" s="50"/>
      <c r="Q117" s="50"/>
      <c r="R117" s="50"/>
      <c r="S117" s="50"/>
      <c r="T117" s="50"/>
      <c r="U117" s="56"/>
      <c r="V117" s="50">
        <v>0.8</v>
      </c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1">
        <v>0.15</v>
      </c>
    </row>
    <row r="118" spans="1:35">
      <c r="A118" s="65" t="s">
        <v>120</v>
      </c>
      <c r="B118" s="66" t="s">
        <v>141</v>
      </c>
      <c r="C118" s="67" t="s">
        <v>142</v>
      </c>
      <c r="D118" s="68" t="s">
        <v>26</v>
      </c>
      <c r="E118" s="69"/>
      <c r="F118" s="77" t="str">
        <f t="shared" si="2"/>
        <v>WSDOT 9-03.12(3) Backfill for Pipe Bedding Min</v>
      </c>
      <c r="I118" s="84"/>
      <c r="J118" s="50"/>
      <c r="K118" s="50"/>
      <c r="L118" s="50"/>
      <c r="M118" s="50"/>
      <c r="N118" s="50"/>
      <c r="O118" s="50">
        <v>1</v>
      </c>
      <c r="P118" s="50"/>
      <c r="Q118" s="50"/>
      <c r="R118" s="50"/>
      <c r="S118" s="50"/>
      <c r="T118" s="50"/>
      <c r="U118" s="56"/>
      <c r="V118" s="50">
        <v>0.2</v>
      </c>
      <c r="W118" s="50"/>
      <c r="X118" s="50"/>
      <c r="Y118" s="50"/>
      <c r="Z118" s="50"/>
      <c r="AA118" s="50"/>
      <c r="AB118" s="50"/>
      <c r="AC118" s="50"/>
      <c r="AD118" s="50"/>
      <c r="AE118" s="50"/>
      <c r="AF118" s="50"/>
      <c r="AG118" s="50"/>
      <c r="AH118" s="50"/>
      <c r="AI118" s="51">
        <v>0</v>
      </c>
    </row>
    <row r="119" spans="1:35">
      <c r="A119" s="59" t="s">
        <v>120</v>
      </c>
      <c r="B119" s="60" t="s">
        <v>143</v>
      </c>
      <c r="C119" s="61" t="s">
        <v>451</v>
      </c>
      <c r="D119" s="62" t="s">
        <v>27</v>
      </c>
      <c r="E119" s="63" t="str">
        <f>A119&amp;" "&amp;B119&amp;" "&amp;C119</f>
        <v>WSDOT 9-03.12(4) Gravel Backfill for Drains</v>
      </c>
      <c r="F119" s="63" t="str">
        <f t="shared" si="2"/>
        <v>WSDOT 9-03.12(4) Gravel Backfill for Drains Max</v>
      </c>
      <c r="G119" s="89"/>
      <c r="H119" s="89"/>
      <c r="I119" s="86"/>
      <c r="J119" s="64"/>
      <c r="K119" s="64"/>
      <c r="L119" s="64"/>
      <c r="M119" s="64"/>
      <c r="N119" s="64"/>
      <c r="O119" s="64">
        <v>1</v>
      </c>
      <c r="P119" s="64"/>
      <c r="Q119" s="64">
        <v>1</v>
      </c>
      <c r="R119" s="64"/>
      <c r="S119" s="64"/>
      <c r="T119" s="64">
        <v>0.4</v>
      </c>
      <c r="U119" s="341"/>
      <c r="V119" s="64">
        <v>0.04</v>
      </c>
      <c r="W119" s="64"/>
      <c r="X119" s="64"/>
      <c r="Y119" s="64"/>
      <c r="Z119" s="64"/>
      <c r="AA119" s="64"/>
      <c r="AB119" s="64"/>
      <c r="AC119" s="64"/>
      <c r="AD119" s="64"/>
      <c r="AE119" s="64"/>
      <c r="AF119" s="64"/>
      <c r="AG119" s="64"/>
      <c r="AH119" s="64"/>
      <c r="AI119" s="75">
        <v>0.02</v>
      </c>
    </row>
    <row r="120" spans="1:35">
      <c r="A120" s="65" t="s">
        <v>120</v>
      </c>
      <c r="B120" s="66" t="s">
        <v>143</v>
      </c>
      <c r="C120" s="67" t="s">
        <v>451</v>
      </c>
      <c r="D120" s="68" t="s">
        <v>26</v>
      </c>
      <c r="E120" s="69"/>
      <c r="F120" s="70" t="str">
        <f t="shared" si="2"/>
        <v>WSDOT 9-03.12(4) Gravel Backfill for Drains Min</v>
      </c>
      <c r="G120" s="90"/>
      <c r="H120" s="90"/>
      <c r="I120" s="87"/>
      <c r="J120" s="71"/>
      <c r="K120" s="71"/>
      <c r="L120" s="71"/>
      <c r="M120" s="71"/>
      <c r="N120" s="71"/>
      <c r="O120" s="71">
        <v>1</v>
      </c>
      <c r="P120" s="71"/>
      <c r="Q120" s="71">
        <v>0.8</v>
      </c>
      <c r="R120" s="71"/>
      <c r="S120" s="71"/>
      <c r="T120" s="71">
        <v>0.1</v>
      </c>
      <c r="U120" s="342"/>
      <c r="V120" s="71">
        <v>0</v>
      </c>
      <c r="W120" s="71"/>
      <c r="X120" s="71"/>
      <c r="Y120" s="71"/>
      <c r="Z120" s="71"/>
      <c r="AA120" s="71"/>
      <c r="AB120" s="71"/>
      <c r="AC120" s="71"/>
      <c r="AD120" s="71"/>
      <c r="AE120" s="71"/>
      <c r="AF120" s="71"/>
      <c r="AG120" s="71"/>
      <c r="AH120" s="71"/>
      <c r="AI120" s="76">
        <v>0</v>
      </c>
    </row>
    <row r="121" spans="1:35">
      <c r="A121" s="59" t="s">
        <v>120</v>
      </c>
      <c r="B121" s="60" t="s">
        <v>452</v>
      </c>
      <c r="C121" s="61" t="s">
        <v>453</v>
      </c>
      <c r="D121" s="62" t="s">
        <v>27</v>
      </c>
      <c r="E121" s="63" t="str">
        <f>A121&amp;" "&amp;B121&amp;" "&amp;C121</f>
        <v>WSDOT 9-03.12(5) Gravel Backfill for Drywells</v>
      </c>
      <c r="F121" s="63" t="str">
        <f>A121&amp;" "&amp;B121&amp;" "&amp;C121&amp;" "&amp;D121</f>
        <v>WSDOT 9-03.12(5) Gravel Backfill for Drywells Max</v>
      </c>
      <c r="G121" s="89"/>
      <c r="H121" s="89"/>
      <c r="I121" s="86"/>
      <c r="J121" s="64"/>
      <c r="K121" s="64"/>
      <c r="L121" s="64"/>
      <c r="M121" s="64"/>
      <c r="N121" s="64">
        <v>1</v>
      </c>
      <c r="O121" s="64">
        <v>1</v>
      </c>
      <c r="P121" s="64"/>
      <c r="Q121" s="64">
        <v>0.2</v>
      </c>
      <c r="R121" s="64"/>
      <c r="S121" s="64"/>
      <c r="T121" s="64">
        <v>0.02</v>
      </c>
      <c r="U121" s="341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G121" s="64"/>
      <c r="AH121" s="64"/>
      <c r="AI121" s="75">
        <v>1.4999999999999999E-2</v>
      </c>
    </row>
    <row r="122" spans="1:35">
      <c r="A122" s="65" t="s">
        <v>120</v>
      </c>
      <c r="B122" s="66" t="s">
        <v>452</v>
      </c>
      <c r="C122" s="67" t="s">
        <v>453</v>
      </c>
      <c r="D122" s="68" t="s">
        <v>26</v>
      </c>
      <c r="E122" s="69"/>
      <c r="F122" s="70" t="str">
        <f>A122&amp;" "&amp;B122&amp;" "&amp;C122&amp;" "&amp;D122</f>
        <v>WSDOT 9-03.12(5) Gravel Backfill for Drywells Min</v>
      </c>
      <c r="G122" s="90"/>
      <c r="H122" s="90"/>
      <c r="I122" s="87"/>
      <c r="J122" s="71"/>
      <c r="K122" s="71"/>
      <c r="L122" s="71"/>
      <c r="M122" s="71"/>
      <c r="N122" s="71">
        <v>1</v>
      </c>
      <c r="O122" s="71">
        <v>0.8</v>
      </c>
      <c r="P122" s="71"/>
      <c r="Q122" s="71">
        <v>0</v>
      </c>
      <c r="R122" s="71"/>
      <c r="S122" s="71"/>
      <c r="T122" s="71">
        <v>0</v>
      </c>
      <c r="U122" s="342"/>
      <c r="V122" s="71"/>
      <c r="W122" s="71"/>
      <c r="X122" s="71"/>
      <c r="Y122" s="71"/>
      <c r="Z122" s="71"/>
      <c r="AA122" s="71"/>
      <c r="AB122" s="71"/>
      <c r="AC122" s="71"/>
      <c r="AD122" s="71"/>
      <c r="AE122" s="71"/>
      <c r="AF122" s="71"/>
      <c r="AG122" s="71"/>
      <c r="AH122" s="71"/>
      <c r="AI122" s="76">
        <v>0</v>
      </c>
    </row>
    <row r="123" spans="1:35">
      <c r="A123" s="59" t="s">
        <v>120</v>
      </c>
      <c r="B123" s="60" t="s">
        <v>144</v>
      </c>
      <c r="C123" s="61" t="s">
        <v>454</v>
      </c>
      <c r="D123" s="62" t="s">
        <v>27</v>
      </c>
      <c r="E123" s="63" t="str">
        <f>A123&amp;" "&amp;B123&amp;" "&amp;C123</f>
        <v>WSDOT 9-03.13 Backfill for Sand Drain</v>
      </c>
      <c r="F123" s="77" t="str">
        <f t="shared" si="2"/>
        <v>WSDOT 9-03.13 Backfill for Sand Drain Max</v>
      </c>
      <c r="I123" s="84"/>
      <c r="J123" s="50"/>
      <c r="K123" s="50"/>
      <c r="L123" s="50"/>
      <c r="M123" s="50"/>
      <c r="N123" s="50"/>
      <c r="O123" s="50"/>
      <c r="P123" s="50"/>
      <c r="Q123" s="50"/>
      <c r="R123" s="50"/>
      <c r="S123" s="50">
        <v>1</v>
      </c>
      <c r="T123" s="50"/>
      <c r="U123" s="56"/>
      <c r="V123" s="50">
        <v>1</v>
      </c>
      <c r="W123" s="50"/>
      <c r="X123" s="50">
        <v>1</v>
      </c>
      <c r="Y123" s="50"/>
      <c r="Z123" s="50"/>
      <c r="AA123" s="50"/>
      <c r="AB123" s="50"/>
      <c r="AC123" s="50">
        <v>0.3</v>
      </c>
      <c r="AD123" s="50"/>
      <c r="AE123" s="50"/>
      <c r="AF123" s="50">
        <v>0.04</v>
      </c>
      <c r="AG123" s="50"/>
      <c r="AH123" s="50"/>
      <c r="AI123" s="51">
        <v>0.03</v>
      </c>
    </row>
    <row r="124" spans="1:35">
      <c r="A124" s="65" t="s">
        <v>120</v>
      </c>
      <c r="B124" s="66" t="s">
        <v>144</v>
      </c>
      <c r="C124" s="67" t="s">
        <v>454</v>
      </c>
      <c r="D124" s="68" t="s">
        <v>26</v>
      </c>
      <c r="E124" s="69"/>
      <c r="F124" s="77" t="str">
        <f t="shared" si="2"/>
        <v>WSDOT 9-03.13 Backfill for Sand Drain Min</v>
      </c>
      <c r="I124" s="84"/>
      <c r="J124" s="50"/>
      <c r="K124" s="50"/>
      <c r="L124" s="50"/>
      <c r="M124" s="50"/>
      <c r="N124" s="50"/>
      <c r="O124" s="50"/>
      <c r="P124" s="50"/>
      <c r="Q124" s="50"/>
      <c r="R124" s="50"/>
      <c r="S124" s="50">
        <v>0.9</v>
      </c>
      <c r="T124" s="50"/>
      <c r="U124" s="56"/>
      <c r="V124" s="50">
        <v>0.56999999999999995</v>
      </c>
      <c r="W124" s="50"/>
      <c r="X124" s="50">
        <v>0.4</v>
      </c>
      <c r="Y124" s="50"/>
      <c r="Z124" s="50"/>
      <c r="AA124" s="50"/>
      <c r="AB124" s="50"/>
      <c r="AC124" s="50">
        <v>0.03</v>
      </c>
      <c r="AD124" s="50"/>
      <c r="AE124" s="50"/>
      <c r="AF124" s="50">
        <v>0</v>
      </c>
      <c r="AG124" s="50"/>
      <c r="AH124" s="50"/>
      <c r="AI124" s="51">
        <v>0</v>
      </c>
    </row>
    <row r="125" spans="1:35">
      <c r="A125" s="59" t="s">
        <v>120</v>
      </c>
      <c r="B125" s="60" t="s">
        <v>145</v>
      </c>
      <c r="C125" s="61" t="s">
        <v>146</v>
      </c>
      <c r="D125" s="62" t="s">
        <v>27</v>
      </c>
      <c r="E125" s="63" t="str">
        <f>A125&amp;" "&amp;B125&amp;" "&amp;C125</f>
        <v>WSDOT 9-03.13(1) Sand Drainage Blanket</v>
      </c>
      <c r="F125" s="63" t="str">
        <f t="shared" si="2"/>
        <v>WSDOT 9-03.13(1) Sand Drainage Blanket Max</v>
      </c>
      <c r="G125" s="89"/>
      <c r="H125" s="89"/>
      <c r="I125" s="86"/>
      <c r="J125" s="64">
        <v>1</v>
      </c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341"/>
      <c r="V125" s="64">
        <v>1</v>
      </c>
      <c r="W125" s="64"/>
      <c r="X125" s="64">
        <v>1</v>
      </c>
      <c r="Y125" s="64"/>
      <c r="Z125" s="64"/>
      <c r="AA125" s="64"/>
      <c r="AB125" s="64"/>
      <c r="AC125" s="64">
        <v>0.3</v>
      </c>
      <c r="AD125" s="64"/>
      <c r="AE125" s="64"/>
      <c r="AF125" s="64">
        <v>7.0000000000000007E-2</v>
      </c>
      <c r="AG125" s="64"/>
      <c r="AH125" s="64"/>
      <c r="AI125" s="75">
        <v>0.03</v>
      </c>
    </row>
    <row r="126" spans="1:35">
      <c r="A126" s="65" t="s">
        <v>120</v>
      </c>
      <c r="B126" s="66" t="s">
        <v>145</v>
      </c>
      <c r="C126" s="67" t="s">
        <v>146</v>
      </c>
      <c r="D126" s="68" t="s">
        <v>26</v>
      </c>
      <c r="E126" s="69"/>
      <c r="F126" s="70" t="str">
        <f t="shared" si="2"/>
        <v>WSDOT 9-03.13(1) Sand Drainage Blanket Min</v>
      </c>
      <c r="G126" s="90"/>
      <c r="H126" s="90"/>
      <c r="I126" s="87"/>
      <c r="J126" s="71">
        <v>0.9</v>
      </c>
      <c r="K126" s="71"/>
      <c r="L126" s="71"/>
      <c r="M126" s="71"/>
      <c r="N126" s="71"/>
      <c r="O126" s="71"/>
      <c r="P126" s="71"/>
      <c r="Q126" s="71"/>
      <c r="R126" s="71"/>
      <c r="S126" s="71"/>
      <c r="T126" s="71"/>
      <c r="U126" s="342"/>
      <c r="V126" s="71">
        <v>0.24</v>
      </c>
      <c r="W126" s="71"/>
      <c r="X126" s="71">
        <v>0.5</v>
      </c>
      <c r="Y126" s="71"/>
      <c r="Z126" s="71"/>
      <c r="AA126" s="71"/>
      <c r="AB126" s="71"/>
      <c r="AC126" s="71">
        <v>0</v>
      </c>
      <c r="AD126" s="71"/>
      <c r="AE126" s="71"/>
      <c r="AF126" s="71">
        <v>0</v>
      </c>
      <c r="AG126" s="71"/>
      <c r="AH126" s="71"/>
      <c r="AI126" s="76">
        <v>0</v>
      </c>
    </row>
    <row r="127" spans="1:35">
      <c r="A127" s="59" t="s">
        <v>120</v>
      </c>
      <c r="B127" s="60" t="s">
        <v>402</v>
      </c>
      <c r="C127" s="61" t="s">
        <v>7</v>
      </c>
      <c r="D127" s="62" t="s">
        <v>27</v>
      </c>
      <c r="E127" s="63" t="str">
        <f>A127&amp;" "&amp;B127&amp;" "&amp;C127</f>
        <v>WSDOT 9-03.14(1) Gravel Borrow</v>
      </c>
      <c r="F127" s="63" t="str">
        <f t="shared" si="2"/>
        <v>WSDOT 9-03.14(1) Gravel Borrow Max</v>
      </c>
      <c r="G127" s="89"/>
      <c r="H127" s="89">
        <v>1</v>
      </c>
      <c r="I127" s="86"/>
      <c r="J127" s="64"/>
      <c r="K127" s="64">
        <v>1</v>
      </c>
      <c r="L127" s="64"/>
      <c r="M127" s="64"/>
      <c r="N127" s="64"/>
      <c r="O127" s="64"/>
      <c r="P127" s="64"/>
      <c r="Q127" s="64"/>
      <c r="R127" s="64"/>
      <c r="S127" s="64"/>
      <c r="T127" s="64"/>
      <c r="U127" s="341"/>
      <c r="V127" s="64">
        <v>0.8</v>
      </c>
      <c r="W127" s="64"/>
      <c r="X127" s="64"/>
      <c r="Y127" s="64"/>
      <c r="Z127" s="64"/>
      <c r="AA127" s="64"/>
      <c r="AB127" s="64">
        <v>0.3</v>
      </c>
      <c r="AC127" s="64"/>
      <c r="AD127" s="64"/>
      <c r="AE127" s="64"/>
      <c r="AF127" s="64"/>
      <c r="AG127" s="64"/>
      <c r="AH127" s="64"/>
      <c r="AI127" s="75">
        <v>7.0000000000000007E-2</v>
      </c>
    </row>
    <row r="128" spans="1:35">
      <c r="A128" s="65" t="s">
        <v>120</v>
      </c>
      <c r="B128" s="66" t="s">
        <v>402</v>
      </c>
      <c r="C128" s="67" t="s">
        <v>7</v>
      </c>
      <c r="D128" s="68" t="s">
        <v>26</v>
      </c>
      <c r="E128" s="69"/>
      <c r="F128" s="70" t="str">
        <f t="shared" si="2"/>
        <v>WSDOT 9-03.14(1) Gravel Borrow Min</v>
      </c>
      <c r="G128" s="90"/>
      <c r="H128" s="90">
        <v>1</v>
      </c>
      <c r="I128" s="87"/>
      <c r="J128" s="71"/>
      <c r="K128" s="71">
        <v>0.75</v>
      </c>
      <c r="L128" s="71"/>
      <c r="M128" s="71"/>
      <c r="N128" s="71"/>
      <c r="O128" s="71"/>
      <c r="P128" s="71"/>
      <c r="Q128" s="71"/>
      <c r="R128" s="71"/>
      <c r="S128" s="71"/>
      <c r="T128" s="71"/>
      <c r="U128" s="342"/>
      <c r="V128" s="71">
        <v>0.5</v>
      </c>
      <c r="W128" s="71"/>
      <c r="X128" s="71"/>
      <c r="Y128" s="71"/>
      <c r="Z128" s="71"/>
      <c r="AA128" s="71"/>
      <c r="AB128" s="71">
        <v>0</v>
      </c>
      <c r="AC128" s="71"/>
      <c r="AD128" s="71"/>
      <c r="AE128" s="71"/>
      <c r="AF128" s="71"/>
      <c r="AG128" s="71"/>
      <c r="AH128" s="71"/>
      <c r="AI128" s="76">
        <v>0</v>
      </c>
    </row>
    <row r="129" spans="1:35">
      <c r="A129" s="59" t="s">
        <v>120</v>
      </c>
      <c r="B129" s="60" t="s">
        <v>403</v>
      </c>
      <c r="C129" s="61" t="s">
        <v>404</v>
      </c>
      <c r="D129" s="62" t="s">
        <v>27</v>
      </c>
      <c r="E129" s="63" t="str">
        <f>A129&amp;" "&amp;B129&amp;" "&amp;C129</f>
        <v>WSDOT 9-03.14(2) Select Borrow</v>
      </c>
      <c r="F129" s="63" t="str">
        <f t="shared" si="2"/>
        <v>WSDOT 9-03.14(2) Select Borrow Max</v>
      </c>
      <c r="G129" s="89">
        <v>1</v>
      </c>
      <c r="H129" s="89"/>
      <c r="I129" s="86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341"/>
      <c r="V129" s="64"/>
      <c r="W129" s="64"/>
      <c r="X129" s="64"/>
      <c r="Y129" s="64"/>
      <c r="Z129" s="64"/>
      <c r="AA129" s="64"/>
      <c r="AB129" s="64">
        <v>0.5</v>
      </c>
      <c r="AC129" s="64"/>
      <c r="AD129" s="64"/>
      <c r="AE129" s="64"/>
      <c r="AF129" s="64"/>
      <c r="AG129" s="64"/>
      <c r="AH129" s="64"/>
      <c r="AI129" s="75">
        <v>0.1</v>
      </c>
    </row>
    <row r="130" spans="1:35">
      <c r="A130" s="65" t="s">
        <v>120</v>
      </c>
      <c r="B130" s="66" t="s">
        <v>403</v>
      </c>
      <c r="C130" s="67" t="s">
        <v>404</v>
      </c>
      <c r="D130" s="68" t="s">
        <v>26</v>
      </c>
      <c r="E130" s="69"/>
      <c r="F130" s="70" t="str">
        <f t="shared" si="2"/>
        <v>WSDOT 9-03.14(2) Select Borrow Min</v>
      </c>
      <c r="G130" s="90">
        <v>1</v>
      </c>
      <c r="H130" s="90"/>
      <c r="I130" s="87"/>
      <c r="J130" s="71"/>
      <c r="K130" s="71"/>
      <c r="L130" s="71"/>
      <c r="M130" s="71"/>
      <c r="N130" s="71"/>
      <c r="O130" s="71"/>
      <c r="P130" s="71"/>
      <c r="Q130" s="71"/>
      <c r="R130" s="71"/>
      <c r="S130" s="71"/>
      <c r="T130" s="71"/>
      <c r="U130" s="342"/>
      <c r="V130" s="71"/>
      <c r="W130" s="71"/>
      <c r="X130" s="71"/>
      <c r="Y130" s="71"/>
      <c r="Z130" s="71"/>
      <c r="AA130" s="71"/>
      <c r="AB130" s="71">
        <v>0</v>
      </c>
      <c r="AC130" s="71"/>
      <c r="AD130" s="71"/>
      <c r="AE130" s="71"/>
      <c r="AF130" s="71"/>
      <c r="AG130" s="71"/>
      <c r="AH130" s="71"/>
      <c r="AI130" s="76">
        <v>0</v>
      </c>
    </row>
    <row r="131" spans="1:35">
      <c r="A131" s="59" t="s">
        <v>120</v>
      </c>
      <c r="B131" s="60" t="s">
        <v>147</v>
      </c>
      <c r="C131" s="61" t="s">
        <v>93</v>
      </c>
      <c r="D131" s="62" t="s">
        <v>27</v>
      </c>
      <c r="E131" s="63" t="str">
        <f>A131&amp;" "&amp;B131&amp;" "&amp;C131</f>
        <v>WSDOT 9-03.17 Class A</v>
      </c>
      <c r="F131" s="63" t="str">
        <f t="shared" ref="F131:F138" si="3">A131&amp;" "&amp;B131&amp;" "&amp;C131&amp;" "&amp;D131</f>
        <v>WSDOT 9-03.17 Class A Max</v>
      </c>
      <c r="G131" s="89"/>
      <c r="H131" s="89"/>
      <c r="I131" s="86"/>
      <c r="J131" s="64">
        <v>1</v>
      </c>
      <c r="K131" s="64">
        <v>1</v>
      </c>
      <c r="L131" s="64"/>
      <c r="M131" s="64">
        <v>0.87</v>
      </c>
      <c r="N131" s="64">
        <v>0.75</v>
      </c>
      <c r="O131" s="64"/>
      <c r="P131" s="64"/>
      <c r="Q131" s="64">
        <v>0.47</v>
      </c>
      <c r="R131" s="64"/>
      <c r="S131" s="64"/>
      <c r="T131" s="64">
        <v>0.14000000000000001</v>
      </c>
      <c r="U131" s="341"/>
      <c r="V131" s="64">
        <v>0.01</v>
      </c>
      <c r="W131" s="64"/>
      <c r="X131" s="64"/>
      <c r="Y131" s="64"/>
      <c r="Z131" s="64"/>
      <c r="AA131" s="64"/>
      <c r="AB131" s="64"/>
      <c r="AC131" s="64"/>
      <c r="AD131" s="64"/>
      <c r="AE131" s="64"/>
      <c r="AF131" s="64"/>
      <c r="AG131" s="64"/>
      <c r="AH131" s="64"/>
      <c r="AI131" s="75"/>
    </row>
    <row r="132" spans="1:35">
      <c r="A132" s="65" t="s">
        <v>120</v>
      </c>
      <c r="B132" s="66" t="s">
        <v>147</v>
      </c>
      <c r="C132" s="67" t="s">
        <v>93</v>
      </c>
      <c r="D132" s="68" t="s">
        <v>26</v>
      </c>
      <c r="E132" s="69"/>
      <c r="F132" s="70" t="str">
        <f t="shared" si="3"/>
        <v>WSDOT 9-03.17 Class A Min</v>
      </c>
      <c r="G132" s="90"/>
      <c r="H132" s="90"/>
      <c r="I132" s="87"/>
      <c r="J132" s="71">
        <v>0.98</v>
      </c>
      <c r="K132" s="71">
        <v>0.92</v>
      </c>
      <c r="L132" s="71"/>
      <c r="M132" s="71">
        <v>0.72</v>
      </c>
      <c r="N132" s="71">
        <v>0.57999999999999996</v>
      </c>
      <c r="O132" s="71"/>
      <c r="P132" s="71"/>
      <c r="Q132" s="71">
        <v>0.27</v>
      </c>
      <c r="R132" s="71"/>
      <c r="S132" s="71"/>
      <c r="T132" s="71">
        <v>0.03</v>
      </c>
      <c r="U132" s="342"/>
      <c r="V132" s="71">
        <v>0</v>
      </c>
      <c r="W132" s="71"/>
      <c r="X132" s="71"/>
      <c r="Y132" s="71"/>
      <c r="Z132" s="71"/>
      <c r="AA132" s="71"/>
      <c r="AB132" s="71"/>
      <c r="AC132" s="71"/>
      <c r="AD132" s="71"/>
      <c r="AE132" s="71"/>
      <c r="AF132" s="71"/>
      <c r="AG132" s="71"/>
      <c r="AH132" s="71"/>
      <c r="AI132" s="76"/>
    </row>
    <row r="133" spans="1:35">
      <c r="A133" s="59" t="s">
        <v>120</v>
      </c>
      <c r="B133" s="60" t="s">
        <v>147</v>
      </c>
      <c r="C133" s="61" t="s">
        <v>95</v>
      </c>
      <c r="D133" s="62" t="s">
        <v>27</v>
      </c>
      <c r="E133" s="63" t="str">
        <f>A133&amp;" "&amp;B133&amp;" "&amp;C133</f>
        <v>WSDOT 9-03.17 Class B</v>
      </c>
      <c r="F133" s="63" t="str">
        <f t="shared" si="3"/>
        <v>WSDOT 9-03.17 Class B Max</v>
      </c>
      <c r="G133" s="89"/>
      <c r="H133" s="89"/>
      <c r="I133" s="86"/>
      <c r="J133" s="64">
        <v>1</v>
      </c>
      <c r="K133" s="64">
        <v>1</v>
      </c>
      <c r="L133" s="64"/>
      <c r="M133" s="64">
        <v>0.6</v>
      </c>
      <c r="N133" s="64">
        <v>0.15</v>
      </c>
      <c r="O133" s="64"/>
      <c r="P133" s="64"/>
      <c r="Q133" s="64">
        <v>0.01</v>
      </c>
      <c r="R133" s="64"/>
      <c r="S133" s="64"/>
      <c r="T133" s="64"/>
      <c r="U133" s="341"/>
      <c r="V133" s="64"/>
      <c r="W133" s="64"/>
      <c r="X133" s="64"/>
      <c r="Y133" s="64"/>
      <c r="Z133" s="64"/>
      <c r="AA133" s="64"/>
      <c r="AB133" s="64"/>
      <c r="AC133" s="64"/>
      <c r="AD133" s="64"/>
      <c r="AE133" s="64"/>
      <c r="AF133" s="64"/>
      <c r="AG133" s="64"/>
      <c r="AH133" s="64"/>
      <c r="AI133" s="75"/>
    </row>
    <row r="134" spans="1:35">
      <c r="A134" s="65" t="s">
        <v>120</v>
      </c>
      <c r="B134" s="66" t="s">
        <v>147</v>
      </c>
      <c r="C134" s="67" t="s">
        <v>95</v>
      </c>
      <c r="D134" s="68" t="s">
        <v>26</v>
      </c>
      <c r="E134" s="69"/>
      <c r="F134" s="70" t="str">
        <f t="shared" si="3"/>
        <v>WSDOT 9-03.17 Class B Min</v>
      </c>
      <c r="G134" s="90"/>
      <c r="H134" s="90"/>
      <c r="I134" s="87"/>
      <c r="J134" s="71">
        <v>0.95</v>
      </c>
      <c r="K134" s="71">
        <v>0.75</v>
      </c>
      <c r="L134" s="71"/>
      <c r="M134" s="71">
        <v>0.3</v>
      </c>
      <c r="N134" s="71">
        <v>0</v>
      </c>
      <c r="O134" s="71"/>
      <c r="P134" s="71"/>
      <c r="Q134" s="71">
        <v>0</v>
      </c>
      <c r="R134" s="71"/>
      <c r="S134" s="71"/>
      <c r="T134" s="71"/>
      <c r="U134" s="342"/>
      <c r="V134" s="71"/>
      <c r="W134" s="71"/>
      <c r="X134" s="71"/>
      <c r="Y134" s="71"/>
      <c r="Z134" s="71"/>
      <c r="AA134" s="71"/>
      <c r="AB134" s="71"/>
      <c r="AC134" s="71"/>
      <c r="AD134" s="71"/>
      <c r="AE134" s="71"/>
      <c r="AF134" s="71"/>
      <c r="AG134" s="71"/>
      <c r="AH134" s="71"/>
      <c r="AI134" s="76"/>
    </row>
    <row r="135" spans="1:35">
      <c r="A135" s="59" t="s">
        <v>120</v>
      </c>
      <c r="B135" s="60" t="s">
        <v>148</v>
      </c>
      <c r="C135" s="61" t="s">
        <v>149</v>
      </c>
      <c r="D135" s="62" t="s">
        <v>27</v>
      </c>
      <c r="E135" s="63" t="str">
        <f>A135&amp;" "&amp;B135&amp;" "&amp;C135</f>
        <v>WSDOT 9-03.18 Class C</v>
      </c>
      <c r="F135" s="63" t="str">
        <f t="shared" si="3"/>
        <v>WSDOT 9-03.18 Class C Max</v>
      </c>
      <c r="G135" s="89"/>
      <c r="H135" s="89"/>
      <c r="I135" s="86"/>
      <c r="J135" s="64"/>
      <c r="K135" s="64">
        <v>1</v>
      </c>
      <c r="L135" s="64"/>
      <c r="M135" s="64"/>
      <c r="N135" s="64"/>
      <c r="O135" s="64"/>
      <c r="P135" s="64"/>
      <c r="Q135" s="64"/>
      <c r="R135" s="64"/>
      <c r="S135" s="64"/>
      <c r="T135" s="64"/>
      <c r="U135" s="341"/>
      <c r="V135" s="64">
        <v>1</v>
      </c>
      <c r="W135" s="64"/>
      <c r="X135" s="64"/>
      <c r="Y135" s="64"/>
      <c r="Z135" s="64"/>
      <c r="AA135" s="64"/>
      <c r="AB135" s="64"/>
      <c r="AC135" s="64"/>
      <c r="AD135" s="64"/>
      <c r="AE135" s="64"/>
      <c r="AF135" s="64"/>
      <c r="AG135" s="64"/>
      <c r="AH135" s="64"/>
      <c r="AI135" s="75"/>
    </row>
    <row r="136" spans="1:35">
      <c r="A136" s="65" t="s">
        <v>120</v>
      </c>
      <c r="B136" s="66" t="s">
        <v>148</v>
      </c>
      <c r="C136" s="67" t="s">
        <v>149</v>
      </c>
      <c r="D136" s="68" t="s">
        <v>26</v>
      </c>
      <c r="E136" s="69"/>
      <c r="F136" s="70" t="str">
        <f t="shared" si="3"/>
        <v>WSDOT 9-03.18 Class C Min</v>
      </c>
      <c r="G136" s="90"/>
      <c r="H136" s="90"/>
      <c r="I136" s="87"/>
      <c r="J136" s="71"/>
      <c r="K136" s="71">
        <v>1</v>
      </c>
      <c r="L136" s="71"/>
      <c r="M136" s="71"/>
      <c r="N136" s="71"/>
      <c r="O136" s="71"/>
      <c r="P136" s="71"/>
      <c r="Q136" s="71"/>
      <c r="R136" s="71"/>
      <c r="S136" s="71"/>
      <c r="T136" s="71"/>
      <c r="U136" s="342"/>
      <c r="V136" s="71">
        <v>0.35</v>
      </c>
      <c r="W136" s="71"/>
      <c r="X136" s="71"/>
      <c r="Y136" s="71"/>
      <c r="Z136" s="71"/>
      <c r="AA136" s="71"/>
      <c r="AB136" s="71"/>
      <c r="AC136" s="71"/>
      <c r="AD136" s="71"/>
      <c r="AE136" s="71"/>
      <c r="AF136" s="71"/>
      <c r="AG136" s="71"/>
      <c r="AH136" s="71"/>
      <c r="AI136" s="76"/>
    </row>
    <row r="137" spans="1:35">
      <c r="A137" s="59" t="s">
        <v>120</v>
      </c>
      <c r="B137" s="60" t="s">
        <v>150</v>
      </c>
      <c r="C137" s="61" t="s">
        <v>151</v>
      </c>
      <c r="D137" s="62" t="s">
        <v>27</v>
      </c>
      <c r="E137" s="63" t="str">
        <f>A137&amp;" "&amp;B137&amp;" "&amp;C137</f>
        <v>WSDOT 9-03.19 Trench Backfill</v>
      </c>
      <c r="F137" s="63" t="str">
        <f t="shared" si="3"/>
        <v>WSDOT 9-03.19 Trench Backfill Max</v>
      </c>
      <c r="G137" s="89"/>
      <c r="H137" s="89"/>
      <c r="I137" s="86"/>
      <c r="J137" s="64">
        <v>1</v>
      </c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341"/>
      <c r="V137" s="64">
        <v>1</v>
      </c>
      <c r="W137" s="64"/>
      <c r="X137" s="64"/>
      <c r="Y137" s="64"/>
      <c r="Z137" s="64"/>
      <c r="AA137" s="64"/>
      <c r="AB137" s="64"/>
      <c r="AC137" s="64"/>
      <c r="AD137" s="64"/>
      <c r="AE137" s="64"/>
      <c r="AF137" s="64"/>
      <c r="AG137" s="64"/>
      <c r="AH137" s="64"/>
      <c r="AI137" s="75">
        <v>0.1</v>
      </c>
    </row>
    <row r="138" spans="1:35">
      <c r="A138" s="65" t="s">
        <v>120</v>
      </c>
      <c r="B138" s="66" t="s">
        <v>150</v>
      </c>
      <c r="C138" s="67" t="s">
        <v>151</v>
      </c>
      <c r="D138" s="68" t="s">
        <v>26</v>
      </c>
      <c r="E138" s="69"/>
      <c r="F138" s="70" t="str">
        <f t="shared" si="3"/>
        <v>WSDOT 9-03.19 Trench Backfill Min</v>
      </c>
      <c r="G138" s="90"/>
      <c r="H138" s="90"/>
      <c r="I138" s="87"/>
      <c r="J138" s="71">
        <v>1</v>
      </c>
      <c r="K138" s="71"/>
      <c r="L138" s="71"/>
      <c r="M138" s="71"/>
      <c r="N138" s="71"/>
      <c r="O138" s="71"/>
      <c r="P138" s="71"/>
      <c r="Q138" s="71"/>
      <c r="R138" s="71"/>
      <c r="S138" s="71"/>
      <c r="T138" s="71"/>
      <c r="U138" s="342"/>
      <c r="V138" s="71">
        <v>0.22</v>
      </c>
      <c r="W138" s="71"/>
      <c r="X138" s="71"/>
      <c r="Y138" s="71"/>
      <c r="Z138" s="71"/>
      <c r="AA138" s="71"/>
      <c r="AB138" s="71"/>
      <c r="AC138" s="71"/>
      <c r="AD138" s="71"/>
      <c r="AE138" s="71"/>
      <c r="AF138" s="71"/>
      <c r="AG138" s="71"/>
      <c r="AH138" s="71"/>
      <c r="AI138" s="76">
        <v>0</v>
      </c>
    </row>
    <row r="139" spans="1:35">
      <c r="A139" s="59" t="s">
        <v>168</v>
      </c>
      <c r="B139" s="60">
        <v>703.04</v>
      </c>
      <c r="C139" s="61" t="s">
        <v>169</v>
      </c>
      <c r="D139" s="62" t="s">
        <v>27</v>
      </c>
      <c r="E139" s="63" t="str">
        <f>A139&amp;" "&amp;B139&amp;" "&amp;C139</f>
        <v>FHWA 703.04 Sheathing Material</v>
      </c>
      <c r="F139" s="63" t="str">
        <f t="shared" ref="F139:F190" si="4">A139&amp;" "&amp;B139&amp;" "&amp;C139&amp;" "&amp;D139</f>
        <v>FHWA 703.04 Sheathing Material Max</v>
      </c>
      <c r="G139" s="89"/>
      <c r="H139" s="89"/>
      <c r="I139" s="86">
        <v>1</v>
      </c>
      <c r="J139" s="64"/>
      <c r="K139" s="64"/>
      <c r="L139" s="64"/>
      <c r="M139" s="64"/>
      <c r="N139" s="64"/>
      <c r="O139" s="64"/>
      <c r="P139" s="64"/>
      <c r="Q139" s="64">
        <v>0.9</v>
      </c>
      <c r="R139" s="64"/>
      <c r="S139" s="64"/>
      <c r="T139" s="64"/>
      <c r="U139" s="341"/>
      <c r="V139" s="64">
        <v>0.5</v>
      </c>
      <c r="W139" s="64"/>
      <c r="X139" s="64"/>
      <c r="Y139" s="64"/>
      <c r="Z139" s="64"/>
      <c r="AA139" s="64"/>
      <c r="AB139" s="64"/>
      <c r="AC139" s="64"/>
      <c r="AD139" s="64"/>
      <c r="AE139" s="64"/>
      <c r="AF139" s="64"/>
      <c r="AG139" s="64"/>
      <c r="AH139" s="64"/>
      <c r="AI139" s="75">
        <v>0.02</v>
      </c>
    </row>
    <row r="140" spans="1:35">
      <c r="A140" s="65" t="s">
        <v>168</v>
      </c>
      <c r="B140" s="66">
        <v>703.04</v>
      </c>
      <c r="C140" s="67" t="s">
        <v>169</v>
      </c>
      <c r="D140" s="68" t="s">
        <v>26</v>
      </c>
      <c r="E140" s="69"/>
      <c r="F140" s="70" t="str">
        <f t="shared" si="4"/>
        <v>FHWA 703.04 Sheathing Material Min</v>
      </c>
      <c r="G140" s="90"/>
      <c r="H140" s="90"/>
      <c r="I140" s="87">
        <v>1</v>
      </c>
      <c r="J140" s="71"/>
      <c r="K140" s="71"/>
      <c r="L140" s="71"/>
      <c r="M140" s="71"/>
      <c r="N140" s="71"/>
      <c r="O140" s="71"/>
      <c r="P140" s="71"/>
      <c r="Q140" s="71">
        <v>0.5</v>
      </c>
      <c r="R140" s="71"/>
      <c r="S140" s="71"/>
      <c r="T140" s="71"/>
      <c r="U140" s="342"/>
      <c r="V140" s="71">
        <v>0.2</v>
      </c>
      <c r="W140" s="71"/>
      <c r="X140" s="71"/>
      <c r="Y140" s="71"/>
      <c r="Z140" s="71"/>
      <c r="AA140" s="71"/>
      <c r="AB140" s="71"/>
      <c r="AC140" s="71"/>
      <c r="AD140" s="71"/>
      <c r="AE140" s="71"/>
      <c r="AF140" s="71"/>
      <c r="AG140" s="71"/>
      <c r="AH140" s="71"/>
      <c r="AI140" s="76">
        <v>0</v>
      </c>
    </row>
    <row r="141" spans="1:35">
      <c r="A141" s="59" t="s">
        <v>168</v>
      </c>
      <c r="B141" s="60">
        <v>703.05</v>
      </c>
      <c r="C141" s="61" t="s">
        <v>170</v>
      </c>
      <c r="D141" s="62" t="s">
        <v>27</v>
      </c>
      <c r="E141" s="63" t="str">
        <f>A141&amp;" "&amp;B141&amp;" "&amp;C141</f>
        <v>FHWA 703.05 Subbase, Grading A</v>
      </c>
      <c r="F141" s="63" t="str">
        <f t="shared" si="4"/>
        <v>FHWA 703.05 Subbase, Grading A Max</v>
      </c>
      <c r="G141" s="89"/>
      <c r="H141" s="89"/>
      <c r="I141" s="86"/>
      <c r="J141" s="64">
        <v>1</v>
      </c>
      <c r="K141" s="64">
        <v>1</v>
      </c>
      <c r="L141" s="64"/>
      <c r="M141" s="64"/>
      <c r="N141" s="64"/>
      <c r="O141" s="64">
        <v>0.79</v>
      </c>
      <c r="P141" s="64"/>
      <c r="Q141" s="64"/>
      <c r="R141" s="64"/>
      <c r="S141" s="64">
        <v>0.59</v>
      </c>
      <c r="T141" s="64"/>
      <c r="U141" s="341"/>
      <c r="V141" s="64">
        <v>0.42</v>
      </c>
      <c r="W141" s="64"/>
      <c r="X141" s="64"/>
      <c r="Y141" s="64"/>
      <c r="Z141" s="64"/>
      <c r="AA141" s="64"/>
      <c r="AB141" s="64">
        <v>0.17</v>
      </c>
      <c r="AC141" s="64"/>
      <c r="AD141" s="64"/>
      <c r="AE141" s="64"/>
      <c r="AF141" s="64"/>
      <c r="AG141" s="64"/>
      <c r="AH141" s="64"/>
      <c r="AI141" s="75">
        <v>0.08</v>
      </c>
    </row>
    <row r="142" spans="1:35">
      <c r="A142" s="65" t="s">
        <v>168</v>
      </c>
      <c r="B142" s="66">
        <v>703.05</v>
      </c>
      <c r="C142" s="67" t="s">
        <v>170</v>
      </c>
      <c r="D142" s="68" t="s">
        <v>26</v>
      </c>
      <c r="E142" s="69"/>
      <c r="F142" s="70" t="str">
        <f t="shared" si="4"/>
        <v>FHWA 703.05 Subbase, Grading A Min</v>
      </c>
      <c r="G142" s="90"/>
      <c r="H142" s="90"/>
      <c r="I142" s="87"/>
      <c r="J142" s="71">
        <v>1</v>
      </c>
      <c r="K142" s="71">
        <v>0.97</v>
      </c>
      <c r="L142" s="71"/>
      <c r="M142" s="71"/>
      <c r="N142" s="71"/>
      <c r="O142" s="71">
        <v>0.65</v>
      </c>
      <c r="P142" s="71"/>
      <c r="Q142" s="71"/>
      <c r="R142" s="71"/>
      <c r="S142" s="71">
        <v>0.45</v>
      </c>
      <c r="T142" s="71"/>
      <c r="U142" s="342"/>
      <c r="V142" s="71">
        <v>0.28000000000000003</v>
      </c>
      <c r="W142" s="71"/>
      <c r="X142" s="71"/>
      <c r="Y142" s="71"/>
      <c r="Z142" s="71"/>
      <c r="AA142" s="71"/>
      <c r="AB142" s="71">
        <v>0.09</v>
      </c>
      <c r="AC142" s="71"/>
      <c r="AD142" s="71"/>
      <c r="AE142" s="71"/>
      <c r="AF142" s="71"/>
      <c r="AG142" s="71"/>
      <c r="AH142" s="71"/>
      <c r="AI142" s="76">
        <v>0.04</v>
      </c>
    </row>
    <row r="143" spans="1:35">
      <c r="A143" s="59" t="s">
        <v>168</v>
      </c>
      <c r="B143" s="60">
        <v>703.05</v>
      </c>
      <c r="C143" s="61" t="s">
        <v>171</v>
      </c>
      <c r="D143" s="62" t="s">
        <v>27</v>
      </c>
      <c r="E143" s="63" t="str">
        <f>A143&amp;" "&amp;B143&amp;" "&amp;C143</f>
        <v>FHWA 703.05 Subbase, Grading B</v>
      </c>
      <c r="F143" s="63" t="str">
        <f t="shared" si="4"/>
        <v>FHWA 703.05 Subbase, Grading B Max</v>
      </c>
      <c r="G143" s="89"/>
      <c r="H143" s="89"/>
      <c r="I143" s="86"/>
      <c r="J143" s="64"/>
      <c r="K143" s="64">
        <v>1</v>
      </c>
      <c r="L143" s="64"/>
      <c r="M143" s="64">
        <v>1</v>
      </c>
      <c r="N143" s="64"/>
      <c r="O143" s="64"/>
      <c r="P143" s="64"/>
      <c r="Q143" s="64"/>
      <c r="R143" s="64"/>
      <c r="S143" s="64"/>
      <c r="T143" s="64"/>
      <c r="U143" s="341"/>
      <c r="V143" s="64">
        <v>0.6</v>
      </c>
      <c r="W143" s="64"/>
      <c r="X143" s="64"/>
      <c r="Y143" s="64"/>
      <c r="Z143" s="64"/>
      <c r="AA143" s="64"/>
      <c r="AB143" s="64"/>
      <c r="AC143" s="64"/>
      <c r="AD143" s="64"/>
      <c r="AE143" s="64"/>
      <c r="AF143" s="64"/>
      <c r="AG143" s="64"/>
      <c r="AH143" s="64"/>
      <c r="AI143" s="75">
        <v>0.12</v>
      </c>
    </row>
    <row r="144" spans="1:35">
      <c r="A144" s="65" t="s">
        <v>168</v>
      </c>
      <c r="B144" s="66">
        <v>703.05</v>
      </c>
      <c r="C144" s="67" t="s">
        <v>171</v>
      </c>
      <c r="D144" s="68" t="s">
        <v>26</v>
      </c>
      <c r="E144" s="69"/>
      <c r="F144" s="70" t="str">
        <f t="shared" si="4"/>
        <v>FHWA 703.05 Subbase, Grading B Min</v>
      </c>
      <c r="G144" s="90"/>
      <c r="H144" s="90"/>
      <c r="I144" s="87"/>
      <c r="J144" s="71"/>
      <c r="K144" s="71">
        <v>1</v>
      </c>
      <c r="L144" s="71"/>
      <c r="M144" s="71">
        <v>0.97</v>
      </c>
      <c r="N144" s="71"/>
      <c r="O144" s="71"/>
      <c r="P144" s="71"/>
      <c r="Q144" s="71"/>
      <c r="R144" s="71"/>
      <c r="S144" s="71"/>
      <c r="T144" s="71"/>
      <c r="U144" s="342"/>
      <c r="V144" s="71">
        <v>0.4</v>
      </c>
      <c r="W144" s="71"/>
      <c r="X144" s="71"/>
      <c r="Y144" s="71"/>
      <c r="Z144" s="71"/>
      <c r="AA144" s="71"/>
      <c r="AB144" s="71"/>
      <c r="AC144" s="71"/>
      <c r="AD144" s="71"/>
      <c r="AE144" s="71"/>
      <c r="AF144" s="71"/>
      <c r="AG144" s="71"/>
      <c r="AH144" s="71"/>
      <c r="AI144" s="76">
        <v>0</v>
      </c>
    </row>
    <row r="145" spans="1:35">
      <c r="A145" s="59" t="s">
        <v>168</v>
      </c>
      <c r="B145" s="60">
        <v>703.05</v>
      </c>
      <c r="C145" s="61" t="s">
        <v>172</v>
      </c>
      <c r="D145" s="62" t="s">
        <v>27</v>
      </c>
      <c r="E145" s="63" t="str">
        <f>A145&amp;" "&amp;B145&amp;" "&amp;C145</f>
        <v>FHWA 703.05 Base, Grading C</v>
      </c>
      <c r="F145" s="63" t="str">
        <f t="shared" si="4"/>
        <v>FHWA 703.05 Base, Grading C Max</v>
      </c>
      <c r="G145" s="89"/>
      <c r="H145" s="89"/>
      <c r="I145" s="86"/>
      <c r="J145" s="64"/>
      <c r="K145" s="64">
        <v>1</v>
      </c>
      <c r="L145" s="64"/>
      <c r="M145" s="64"/>
      <c r="N145" s="64"/>
      <c r="O145" s="64"/>
      <c r="P145" s="64"/>
      <c r="Q145" s="64">
        <v>0.81</v>
      </c>
      <c r="R145" s="64"/>
      <c r="S145" s="64"/>
      <c r="T145" s="64"/>
      <c r="U145" s="341"/>
      <c r="V145" s="64">
        <v>0.47</v>
      </c>
      <c r="W145" s="64"/>
      <c r="X145" s="64"/>
      <c r="Y145" s="64"/>
      <c r="Z145" s="64"/>
      <c r="AA145" s="64"/>
      <c r="AB145" s="64">
        <v>0.19</v>
      </c>
      <c r="AC145" s="64"/>
      <c r="AD145" s="64"/>
      <c r="AE145" s="64"/>
      <c r="AF145" s="64"/>
      <c r="AG145" s="64"/>
      <c r="AH145" s="64"/>
      <c r="AI145" s="75">
        <v>0.08</v>
      </c>
    </row>
    <row r="146" spans="1:35">
      <c r="A146" s="65" t="s">
        <v>168</v>
      </c>
      <c r="B146" s="66">
        <v>703.05</v>
      </c>
      <c r="C146" s="67" t="s">
        <v>172</v>
      </c>
      <c r="D146" s="68" t="s">
        <v>26</v>
      </c>
      <c r="E146" s="69"/>
      <c r="F146" s="70" t="str">
        <f t="shared" si="4"/>
        <v>FHWA 703.05 Base, Grading C Min</v>
      </c>
      <c r="G146" s="90"/>
      <c r="H146" s="90"/>
      <c r="I146" s="87"/>
      <c r="J146" s="71"/>
      <c r="K146" s="71">
        <v>1</v>
      </c>
      <c r="L146" s="71"/>
      <c r="M146" s="71"/>
      <c r="N146" s="71"/>
      <c r="O146" s="71"/>
      <c r="P146" s="71"/>
      <c r="Q146" s="71">
        <v>0.67</v>
      </c>
      <c r="R146" s="71"/>
      <c r="S146" s="71"/>
      <c r="T146" s="71"/>
      <c r="U146" s="342"/>
      <c r="V146" s="71">
        <v>0.33</v>
      </c>
      <c r="W146" s="71"/>
      <c r="X146" s="71"/>
      <c r="Y146" s="71"/>
      <c r="Z146" s="71"/>
      <c r="AA146" s="71"/>
      <c r="AB146" s="71">
        <v>0.1</v>
      </c>
      <c r="AC146" s="71"/>
      <c r="AD146" s="71"/>
      <c r="AE146" s="71"/>
      <c r="AF146" s="71"/>
      <c r="AG146" s="71"/>
      <c r="AH146" s="71"/>
      <c r="AI146" s="76">
        <v>0.04</v>
      </c>
    </row>
    <row r="147" spans="1:35">
      <c r="A147" s="59" t="s">
        <v>168</v>
      </c>
      <c r="B147" s="60">
        <v>703.05</v>
      </c>
      <c r="C147" s="61" t="s">
        <v>173</v>
      </c>
      <c r="D147" s="62" t="s">
        <v>27</v>
      </c>
      <c r="E147" s="63" t="str">
        <f>A147&amp;" "&amp;B147&amp;" "&amp;C147</f>
        <v>FHWA 703.05 Base, Grading D</v>
      </c>
      <c r="F147" s="63" t="str">
        <f t="shared" si="4"/>
        <v>FHWA 703.05 Base, Grading D Max</v>
      </c>
      <c r="G147" s="89"/>
      <c r="H147" s="89"/>
      <c r="I147" s="86"/>
      <c r="J147" s="64"/>
      <c r="K147" s="64"/>
      <c r="L147" s="64"/>
      <c r="M147" s="64">
        <v>1</v>
      </c>
      <c r="N147" s="64"/>
      <c r="O147" s="64">
        <v>1</v>
      </c>
      <c r="P147" s="64"/>
      <c r="Q147" s="64"/>
      <c r="R147" s="64"/>
      <c r="S147" s="64"/>
      <c r="T147" s="64">
        <v>0.7</v>
      </c>
      <c r="U147" s="341"/>
      <c r="V147" s="64">
        <v>0.53</v>
      </c>
      <c r="W147" s="64"/>
      <c r="X147" s="64"/>
      <c r="Y147" s="64"/>
      <c r="Z147" s="64"/>
      <c r="AA147" s="64"/>
      <c r="AB147" s="64">
        <v>0.21</v>
      </c>
      <c r="AC147" s="64"/>
      <c r="AD147" s="64"/>
      <c r="AE147" s="64"/>
      <c r="AF147" s="64"/>
      <c r="AG147" s="64"/>
      <c r="AH147" s="64"/>
      <c r="AI147" s="75">
        <v>0.08</v>
      </c>
    </row>
    <row r="148" spans="1:35">
      <c r="A148" s="65" t="s">
        <v>168</v>
      </c>
      <c r="B148" s="66">
        <v>703.05</v>
      </c>
      <c r="C148" s="67" t="s">
        <v>173</v>
      </c>
      <c r="D148" s="68" t="s">
        <v>26</v>
      </c>
      <c r="E148" s="69"/>
      <c r="F148" s="70" t="str">
        <f t="shared" si="4"/>
        <v>FHWA 703.05 Base, Grading D Min</v>
      </c>
      <c r="G148" s="90"/>
      <c r="H148" s="90"/>
      <c r="I148" s="87"/>
      <c r="J148" s="71"/>
      <c r="K148" s="71"/>
      <c r="L148" s="71"/>
      <c r="M148" s="71">
        <v>1</v>
      </c>
      <c r="N148" s="71"/>
      <c r="O148" s="71">
        <v>0.97</v>
      </c>
      <c r="P148" s="71"/>
      <c r="Q148" s="71"/>
      <c r="R148" s="71"/>
      <c r="S148" s="71"/>
      <c r="T148" s="71">
        <v>0.56000000000000005</v>
      </c>
      <c r="U148" s="342"/>
      <c r="V148" s="71">
        <v>0.39</v>
      </c>
      <c r="W148" s="71"/>
      <c r="X148" s="71"/>
      <c r="Y148" s="71"/>
      <c r="Z148" s="71"/>
      <c r="AA148" s="71"/>
      <c r="AB148" s="71">
        <v>0.12</v>
      </c>
      <c r="AC148" s="71"/>
      <c r="AD148" s="71"/>
      <c r="AE148" s="71"/>
      <c r="AF148" s="71"/>
      <c r="AG148" s="71"/>
      <c r="AH148" s="71"/>
      <c r="AI148" s="76">
        <v>0.04</v>
      </c>
    </row>
    <row r="149" spans="1:35">
      <c r="A149" s="59" t="s">
        <v>168</v>
      </c>
      <c r="B149" s="60">
        <v>703.05</v>
      </c>
      <c r="C149" s="61" t="s">
        <v>174</v>
      </c>
      <c r="D149" s="62" t="s">
        <v>27</v>
      </c>
      <c r="E149" s="63" t="str">
        <f>A149&amp;" "&amp;B149&amp;" "&amp;C149</f>
        <v>FHWA 703.05 Base, Grading E</v>
      </c>
      <c r="F149" s="63" t="str">
        <f t="shared" si="4"/>
        <v>FHWA 703.05 Base, Grading E Max</v>
      </c>
      <c r="G149" s="89"/>
      <c r="H149" s="89"/>
      <c r="I149" s="86"/>
      <c r="J149" s="64"/>
      <c r="K149" s="64"/>
      <c r="L149" s="64"/>
      <c r="M149" s="64"/>
      <c r="N149" s="64"/>
      <c r="O149" s="64">
        <v>1</v>
      </c>
      <c r="P149" s="64"/>
      <c r="Q149" s="64">
        <v>1</v>
      </c>
      <c r="R149" s="64"/>
      <c r="S149" s="64"/>
      <c r="T149" s="64">
        <v>0.79</v>
      </c>
      <c r="U149" s="341"/>
      <c r="V149" s="64">
        <v>0.59</v>
      </c>
      <c r="W149" s="64"/>
      <c r="X149" s="64"/>
      <c r="Y149" s="64"/>
      <c r="Z149" s="64"/>
      <c r="AA149" s="64"/>
      <c r="AB149" s="64">
        <v>0.21</v>
      </c>
      <c r="AC149" s="64"/>
      <c r="AD149" s="64"/>
      <c r="AE149" s="64"/>
      <c r="AF149" s="64"/>
      <c r="AG149" s="64"/>
      <c r="AH149" s="64"/>
      <c r="AI149" s="75">
        <v>0.08</v>
      </c>
    </row>
    <row r="150" spans="1:35">
      <c r="A150" s="65" t="s">
        <v>168</v>
      </c>
      <c r="B150" s="66">
        <v>703.05</v>
      </c>
      <c r="C150" s="67" t="s">
        <v>174</v>
      </c>
      <c r="D150" s="68" t="s">
        <v>26</v>
      </c>
      <c r="E150" s="69"/>
      <c r="F150" s="70" t="str">
        <f t="shared" si="4"/>
        <v>FHWA 703.05 Base, Grading E Min</v>
      </c>
      <c r="G150" s="90"/>
      <c r="H150" s="90"/>
      <c r="I150" s="87"/>
      <c r="J150" s="71"/>
      <c r="K150" s="71"/>
      <c r="L150" s="71"/>
      <c r="M150" s="71"/>
      <c r="N150" s="71"/>
      <c r="O150" s="71">
        <v>1</v>
      </c>
      <c r="P150" s="71"/>
      <c r="Q150" s="71">
        <v>0.97</v>
      </c>
      <c r="R150" s="71"/>
      <c r="S150" s="71"/>
      <c r="T150" s="71">
        <v>0.67</v>
      </c>
      <c r="U150" s="342"/>
      <c r="V150" s="71">
        <v>0.47</v>
      </c>
      <c r="W150" s="71"/>
      <c r="X150" s="71"/>
      <c r="Y150" s="71"/>
      <c r="Z150" s="71"/>
      <c r="AA150" s="71"/>
      <c r="AB150" s="71">
        <v>0.12</v>
      </c>
      <c r="AC150" s="71"/>
      <c r="AD150" s="71"/>
      <c r="AE150" s="71"/>
      <c r="AF150" s="71"/>
      <c r="AG150" s="71"/>
      <c r="AH150" s="71"/>
      <c r="AI150" s="76">
        <v>0.04</v>
      </c>
    </row>
    <row r="151" spans="1:35">
      <c r="A151" s="59" t="s">
        <v>168</v>
      </c>
      <c r="B151" s="60">
        <v>703.05</v>
      </c>
      <c r="C151" s="61" t="s">
        <v>175</v>
      </c>
      <c r="D151" s="62" t="s">
        <v>27</v>
      </c>
      <c r="E151" s="63" t="str">
        <f>A151&amp;" "&amp;B151&amp;" "&amp;C151</f>
        <v>FHWA 703.05 Surface Course, Grading F</v>
      </c>
      <c r="F151" s="63" t="str">
        <f t="shared" si="4"/>
        <v>FHWA 703.05 Surface Course, Grading F Max</v>
      </c>
      <c r="G151" s="89"/>
      <c r="H151" s="89"/>
      <c r="I151" s="86"/>
      <c r="J151" s="64"/>
      <c r="K151" s="64"/>
      <c r="L151" s="64"/>
      <c r="M151" s="64"/>
      <c r="N151" s="64"/>
      <c r="O151" s="64">
        <v>1</v>
      </c>
      <c r="P151" s="64"/>
      <c r="Q151" s="64">
        <v>1</v>
      </c>
      <c r="R151" s="64"/>
      <c r="S151" s="64"/>
      <c r="T151" s="64"/>
      <c r="U151" s="341"/>
      <c r="V151" s="64">
        <v>0.71</v>
      </c>
      <c r="W151" s="64"/>
      <c r="X151" s="64"/>
      <c r="Y151" s="64"/>
      <c r="Z151" s="64"/>
      <c r="AA151" s="64"/>
      <c r="AB151" s="64">
        <v>0.28000000000000003</v>
      </c>
      <c r="AC151" s="64"/>
      <c r="AD151" s="64"/>
      <c r="AE151" s="64"/>
      <c r="AF151" s="64"/>
      <c r="AG151" s="64"/>
      <c r="AH151" s="64"/>
      <c r="AI151" s="75">
        <v>0.16</v>
      </c>
    </row>
    <row r="152" spans="1:35">
      <c r="A152" s="65" t="s">
        <v>168</v>
      </c>
      <c r="B152" s="66">
        <v>703.05</v>
      </c>
      <c r="C152" s="67" t="s">
        <v>175</v>
      </c>
      <c r="D152" s="68" t="s">
        <v>26</v>
      </c>
      <c r="E152" s="69"/>
      <c r="F152" s="70" t="str">
        <f t="shared" si="4"/>
        <v>FHWA 703.05 Surface Course, Grading F Min</v>
      </c>
      <c r="G152" s="90"/>
      <c r="H152" s="90"/>
      <c r="I152" s="87"/>
      <c r="J152" s="71"/>
      <c r="K152" s="71"/>
      <c r="L152" s="71"/>
      <c r="M152" s="71"/>
      <c r="N152" s="71"/>
      <c r="O152" s="71">
        <v>1</v>
      </c>
      <c r="P152" s="71"/>
      <c r="Q152" s="71">
        <v>0.97</v>
      </c>
      <c r="R152" s="71"/>
      <c r="S152" s="71"/>
      <c r="T152" s="71"/>
      <c r="U152" s="342"/>
      <c r="V152" s="71">
        <v>0.41</v>
      </c>
      <c r="W152" s="71"/>
      <c r="X152" s="71"/>
      <c r="Y152" s="71"/>
      <c r="Z152" s="71"/>
      <c r="AA152" s="71"/>
      <c r="AB152" s="71">
        <v>0.12</v>
      </c>
      <c r="AC152" s="71"/>
      <c r="AD152" s="71"/>
      <c r="AE152" s="71"/>
      <c r="AF152" s="71"/>
      <c r="AG152" s="71"/>
      <c r="AH152" s="71"/>
      <c r="AI152" s="76">
        <v>0.05</v>
      </c>
    </row>
    <row r="153" spans="1:35">
      <c r="A153" s="59" t="s">
        <v>168</v>
      </c>
      <c r="B153" s="60">
        <v>703.05</v>
      </c>
      <c r="C153" s="61" t="s">
        <v>176</v>
      </c>
      <c r="D153" s="62" t="s">
        <v>27</v>
      </c>
      <c r="E153" s="63" t="str">
        <f>A153&amp;" "&amp;B153&amp;" "&amp;C153</f>
        <v>FHWA 703.05 Surface Course, Grading G</v>
      </c>
      <c r="F153" s="63" t="str">
        <f t="shared" si="4"/>
        <v>FHWA 703.05 Surface Course, Grading G Max</v>
      </c>
      <c r="G153" s="89"/>
      <c r="H153" s="89"/>
      <c r="I153" s="86"/>
      <c r="J153" s="64"/>
      <c r="K153" s="64"/>
      <c r="L153" s="64"/>
      <c r="M153" s="64"/>
      <c r="N153" s="64"/>
      <c r="O153" s="64">
        <v>1</v>
      </c>
      <c r="P153" s="64"/>
      <c r="Q153" s="64"/>
      <c r="R153" s="64"/>
      <c r="S153" s="64"/>
      <c r="T153" s="64"/>
      <c r="U153" s="341"/>
      <c r="V153" s="64"/>
      <c r="W153" s="64"/>
      <c r="X153" s="64"/>
      <c r="Y153" s="64"/>
      <c r="Z153" s="64"/>
      <c r="AA153" s="64"/>
      <c r="AB153" s="64"/>
      <c r="AC153" s="64"/>
      <c r="AD153" s="64"/>
      <c r="AE153" s="64"/>
      <c r="AF153" s="64"/>
      <c r="AG153" s="64"/>
      <c r="AH153" s="64"/>
      <c r="AI153" s="75"/>
    </row>
    <row r="154" spans="1:35">
      <c r="A154" s="65" t="s">
        <v>168</v>
      </c>
      <c r="B154" s="66">
        <v>703.05</v>
      </c>
      <c r="C154" s="67" t="s">
        <v>176</v>
      </c>
      <c r="D154" s="68" t="s">
        <v>26</v>
      </c>
      <c r="E154" s="69"/>
      <c r="F154" s="70" t="str">
        <f t="shared" si="4"/>
        <v>FHWA 703.05 Surface Course, Grading G Min</v>
      </c>
      <c r="G154" s="90"/>
      <c r="H154" s="90"/>
      <c r="I154" s="87"/>
      <c r="J154" s="71"/>
      <c r="K154" s="71"/>
      <c r="L154" s="71"/>
      <c r="M154" s="71"/>
      <c r="N154" s="71"/>
      <c r="O154" s="71">
        <v>1</v>
      </c>
      <c r="P154" s="71"/>
      <c r="Q154" s="71"/>
      <c r="R154" s="71"/>
      <c r="S154" s="71"/>
      <c r="T154" s="71"/>
      <c r="U154" s="342"/>
      <c r="V154" s="71"/>
      <c r="W154" s="71"/>
      <c r="X154" s="71"/>
      <c r="Y154" s="71"/>
      <c r="Z154" s="71"/>
      <c r="AA154" s="71"/>
      <c r="AB154" s="71"/>
      <c r="AC154" s="71"/>
      <c r="AD154" s="71"/>
      <c r="AE154" s="71"/>
      <c r="AF154" s="71"/>
      <c r="AG154" s="71"/>
      <c r="AH154" s="71"/>
      <c r="AI154" s="76"/>
    </row>
    <row r="155" spans="1:35">
      <c r="A155" s="59" t="s">
        <v>168</v>
      </c>
      <c r="B155" s="60">
        <v>703.06</v>
      </c>
      <c r="C155" s="61" t="s">
        <v>177</v>
      </c>
      <c r="D155" s="62" t="s">
        <v>27</v>
      </c>
      <c r="E155" s="63" t="str">
        <f>A155&amp;" "&amp;B155&amp;" "&amp;C155</f>
        <v>FHWA 703.06 Emulsified Asphalt Treated Base, Grading A</v>
      </c>
      <c r="F155" s="63" t="str">
        <f t="shared" si="4"/>
        <v>FHWA 703.06 Emulsified Asphalt Treated Base, Grading A Max</v>
      </c>
      <c r="G155" s="89"/>
      <c r="H155" s="89"/>
      <c r="I155" s="86"/>
      <c r="J155" s="64"/>
      <c r="K155" s="64"/>
      <c r="L155" s="64"/>
      <c r="M155" s="64">
        <v>1</v>
      </c>
      <c r="N155" s="64"/>
      <c r="O155" s="64">
        <v>1</v>
      </c>
      <c r="P155" s="64"/>
      <c r="Q155" s="64"/>
      <c r="R155" s="64"/>
      <c r="S155" s="64"/>
      <c r="T155" s="64"/>
      <c r="U155" s="341"/>
      <c r="V155" s="64"/>
      <c r="W155" s="64"/>
      <c r="X155" s="64">
        <v>0.04</v>
      </c>
      <c r="Y155" s="64"/>
      <c r="Z155" s="64"/>
      <c r="AA155" s="64"/>
      <c r="AB155" s="64"/>
      <c r="AC155" s="64"/>
      <c r="AD155" s="64"/>
      <c r="AE155" s="64"/>
      <c r="AF155" s="64"/>
      <c r="AG155" s="64"/>
      <c r="AH155" s="64"/>
      <c r="AI155" s="75">
        <v>0.01</v>
      </c>
    </row>
    <row r="156" spans="1:35">
      <c r="A156" s="65" t="s">
        <v>168</v>
      </c>
      <c r="B156" s="66">
        <v>703.06</v>
      </c>
      <c r="C156" s="67" t="s">
        <v>177</v>
      </c>
      <c r="D156" s="68" t="s">
        <v>26</v>
      </c>
      <c r="E156" s="69"/>
      <c r="F156" s="70" t="str">
        <f t="shared" si="4"/>
        <v>FHWA 703.06 Emulsified Asphalt Treated Base, Grading A Min</v>
      </c>
      <c r="G156" s="90"/>
      <c r="H156" s="90"/>
      <c r="I156" s="87"/>
      <c r="J156" s="71"/>
      <c r="K156" s="71"/>
      <c r="L156" s="71"/>
      <c r="M156" s="71">
        <v>1</v>
      </c>
      <c r="N156" s="71"/>
      <c r="O156" s="71">
        <v>0.97</v>
      </c>
      <c r="P156" s="71"/>
      <c r="Q156" s="71"/>
      <c r="R156" s="71"/>
      <c r="S156" s="71"/>
      <c r="T156" s="71"/>
      <c r="U156" s="342"/>
      <c r="V156" s="71"/>
      <c r="W156" s="71"/>
      <c r="X156" s="71">
        <v>0</v>
      </c>
      <c r="Y156" s="71"/>
      <c r="Z156" s="71"/>
      <c r="AA156" s="71"/>
      <c r="AB156" s="71"/>
      <c r="AC156" s="71"/>
      <c r="AD156" s="71"/>
      <c r="AE156" s="71"/>
      <c r="AF156" s="71"/>
      <c r="AG156" s="71"/>
      <c r="AH156" s="71"/>
      <c r="AI156" s="76">
        <v>0</v>
      </c>
    </row>
    <row r="157" spans="1:35">
      <c r="A157" s="59" t="s">
        <v>168</v>
      </c>
      <c r="B157" s="60">
        <v>703.06</v>
      </c>
      <c r="C157" s="61" t="s">
        <v>178</v>
      </c>
      <c r="D157" s="62" t="s">
        <v>27</v>
      </c>
      <c r="E157" s="63" t="str">
        <f>A157&amp;" "&amp;B157&amp;" "&amp;C157</f>
        <v>FHWA 703.06 Emulsified Asphalt Treated Base, Grading B</v>
      </c>
      <c r="F157" s="63" t="str">
        <f t="shared" si="4"/>
        <v>FHWA 703.06 Emulsified Asphalt Treated Base, Grading B Max</v>
      </c>
      <c r="G157" s="89"/>
      <c r="H157" s="89"/>
      <c r="I157" s="86"/>
      <c r="J157" s="64"/>
      <c r="K157" s="64"/>
      <c r="L157" s="64"/>
      <c r="M157" s="64"/>
      <c r="N157" s="64"/>
      <c r="O157" s="64">
        <v>1</v>
      </c>
      <c r="P157" s="64"/>
      <c r="Q157" s="64">
        <v>1</v>
      </c>
      <c r="R157" s="64"/>
      <c r="S157" s="64">
        <v>0.4</v>
      </c>
      <c r="T157" s="64"/>
      <c r="U157" s="341"/>
      <c r="V157" s="64"/>
      <c r="W157" s="64"/>
      <c r="X157" s="64">
        <v>0.04</v>
      </c>
      <c r="Y157" s="64"/>
      <c r="Z157" s="64"/>
      <c r="AA157" s="64"/>
      <c r="AB157" s="64"/>
      <c r="AC157" s="64"/>
      <c r="AD157" s="64"/>
      <c r="AE157" s="64"/>
      <c r="AF157" s="64"/>
      <c r="AG157" s="64"/>
      <c r="AH157" s="64"/>
      <c r="AI157" s="75">
        <v>0.01</v>
      </c>
    </row>
    <row r="158" spans="1:35">
      <c r="A158" s="65" t="s">
        <v>168</v>
      </c>
      <c r="B158" s="66">
        <v>703.06</v>
      </c>
      <c r="C158" s="67" t="s">
        <v>178</v>
      </c>
      <c r="D158" s="68" t="s">
        <v>26</v>
      </c>
      <c r="E158" s="69"/>
      <c r="F158" s="70" t="str">
        <f t="shared" si="4"/>
        <v>FHWA 703.06 Emulsified Asphalt Treated Base, Grading B Min</v>
      </c>
      <c r="G158" s="90"/>
      <c r="H158" s="90"/>
      <c r="I158" s="87"/>
      <c r="J158" s="71"/>
      <c r="K158" s="71"/>
      <c r="L158" s="71"/>
      <c r="M158" s="71"/>
      <c r="N158" s="71"/>
      <c r="O158" s="71">
        <v>1</v>
      </c>
      <c r="P158" s="71"/>
      <c r="Q158" s="71">
        <v>0.97</v>
      </c>
      <c r="R158" s="71"/>
      <c r="S158" s="71">
        <v>0.3</v>
      </c>
      <c r="T158" s="71"/>
      <c r="U158" s="342"/>
      <c r="V158" s="71"/>
      <c r="W158" s="71"/>
      <c r="X158" s="71">
        <v>0</v>
      </c>
      <c r="Y158" s="71"/>
      <c r="Z158" s="71"/>
      <c r="AA158" s="71"/>
      <c r="AB158" s="71"/>
      <c r="AC158" s="71"/>
      <c r="AD158" s="71"/>
      <c r="AE158" s="71"/>
      <c r="AF158" s="71"/>
      <c r="AG158" s="71"/>
      <c r="AH158" s="71"/>
      <c r="AI158" s="76">
        <v>0</v>
      </c>
    </row>
    <row r="159" spans="1:35">
      <c r="A159" s="59" t="s">
        <v>168</v>
      </c>
      <c r="B159" s="60">
        <v>703.07</v>
      </c>
      <c r="C159" s="61" t="s">
        <v>179</v>
      </c>
      <c r="D159" s="62" t="s">
        <v>27</v>
      </c>
      <c r="E159" s="63" t="str">
        <f>A159&amp;" "&amp;B159&amp;" "&amp;C159</f>
        <v>FHWA 703.07 Asphalt Pavement, Grading A</v>
      </c>
      <c r="F159" s="63" t="str">
        <f t="shared" si="4"/>
        <v>FHWA 703.07 Asphalt Pavement, Grading A Max</v>
      </c>
      <c r="G159" s="89"/>
      <c r="H159" s="89"/>
      <c r="I159" s="86"/>
      <c r="J159" s="64"/>
      <c r="K159" s="64">
        <v>1</v>
      </c>
      <c r="L159" s="64"/>
      <c r="M159" s="64">
        <v>1</v>
      </c>
      <c r="N159" s="64"/>
      <c r="O159" s="64"/>
      <c r="P159" s="64"/>
      <c r="Q159" s="64">
        <v>0.8</v>
      </c>
      <c r="R159" s="64"/>
      <c r="S159" s="64"/>
      <c r="T159" s="64">
        <v>0.6</v>
      </c>
      <c r="U159" s="341"/>
      <c r="V159" s="64">
        <v>0.45</v>
      </c>
      <c r="W159" s="64">
        <v>0.33</v>
      </c>
      <c r="X159" s="64"/>
      <c r="Y159" s="64"/>
      <c r="Z159" s="64"/>
      <c r="AA159" s="64">
        <v>0.2</v>
      </c>
      <c r="AB159" s="64"/>
      <c r="AC159" s="64">
        <v>0.15</v>
      </c>
      <c r="AD159" s="64"/>
      <c r="AE159" s="64"/>
      <c r="AF159" s="64"/>
      <c r="AG159" s="64"/>
      <c r="AH159" s="64"/>
      <c r="AI159" s="75">
        <v>0.08</v>
      </c>
    </row>
    <row r="160" spans="1:35">
      <c r="A160" s="65" t="s">
        <v>168</v>
      </c>
      <c r="B160" s="66">
        <v>703.07</v>
      </c>
      <c r="C160" s="67" t="s">
        <v>179</v>
      </c>
      <c r="D160" s="68" t="s">
        <v>26</v>
      </c>
      <c r="E160" s="69"/>
      <c r="F160" s="70" t="str">
        <f t="shared" si="4"/>
        <v>FHWA 703.07 Asphalt Pavement, Grading A Min</v>
      </c>
      <c r="G160" s="90"/>
      <c r="H160" s="90"/>
      <c r="I160" s="87"/>
      <c r="J160" s="71"/>
      <c r="K160" s="71">
        <v>1</v>
      </c>
      <c r="L160" s="71"/>
      <c r="M160" s="71">
        <v>0.97</v>
      </c>
      <c r="N160" s="71"/>
      <c r="O160" s="71"/>
      <c r="P160" s="71"/>
      <c r="Q160" s="71">
        <v>0.66</v>
      </c>
      <c r="R160" s="71"/>
      <c r="S160" s="71"/>
      <c r="T160" s="71">
        <v>0.48</v>
      </c>
      <c r="U160" s="342"/>
      <c r="V160" s="71">
        <v>0.33</v>
      </c>
      <c r="W160" s="71">
        <v>0.25</v>
      </c>
      <c r="X160" s="71"/>
      <c r="Y160" s="71"/>
      <c r="Z160" s="71"/>
      <c r="AA160" s="71">
        <v>0.11</v>
      </c>
      <c r="AB160" s="71"/>
      <c r="AC160" s="71">
        <v>7.0000000000000007E-2</v>
      </c>
      <c r="AD160" s="71"/>
      <c r="AE160" s="71"/>
      <c r="AF160" s="71"/>
      <c r="AG160" s="71"/>
      <c r="AH160" s="71"/>
      <c r="AI160" s="76">
        <v>0.03</v>
      </c>
    </row>
    <row r="161" spans="1:35">
      <c r="A161" s="59" t="s">
        <v>168</v>
      </c>
      <c r="B161" s="60">
        <v>703.07</v>
      </c>
      <c r="C161" s="61" t="s">
        <v>180</v>
      </c>
      <c r="D161" s="62" t="s">
        <v>27</v>
      </c>
      <c r="E161" s="63" t="str">
        <f>A161&amp;" "&amp;B161&amp;" "&amp;C161</f>
        <v>FHWA 703.07 Asphalt Pavement, Grading B</v>
      </c>
      <c r="F161" s="63" t="str">
        <f t="shared" si="4"/>
        <v>FHWA 703.07 Asphalt Pavement, Grading B Max</v>
      </c>
      <c r="G161" s="89"/>
      <c r="H161" s="89"/>
      <c r="I161" s="86"/>
      <c r="J161" s="64"/>
      <c r="K161" s="64"/>
      <c r="L161" s="64"/>
      <c r="M161" s="64">
        <v>1</v>
      </c>
      <c r="N161" s="64"/>
      <c r="O161" s="64">
        <v>1</v>
      </c>
      <c r="P161" s="64"/>
      <c r="Q161" s="64"/>
      <c r="R161" s="64"/>
      <c r="S161" s="64"/>
      <c r="T161" s="64">
        <v>0.7</v>
      </c>
      <c r="U161" s="341"/>
      <c r="V161" s="64">
        <v>0.52</v>
      </c>
      <c r="W161" s="64">
        <v>0.39</v>
      </c>
      <c r="X161" s="64"/>
      <c r="Y161" s="64"/>
      <c r="Z161" s="64"/>
      <c r="AA161" s="64">
        <v>0.22</v>
      </c>
      <c r="AB161" s="64"/>
      <c r="AC161" s="64">
        <v>0.16</v>
      </c>
      <c r="AD161" s="64"/>
      <c r="AE161" s="64"/>
      <c r="AF161" s="64"/>
      <c r="AG161" s="64"/>
      <c r="AH161" s="64"/>
      <c r="AI161" s="75">
        <v>0.08</v>
      </c>
    </row>
    <row r="162" spans="1:35">
      <c r="A162" s="65" t="s">
        <v>168</v>
      </c>
      <c r="B162" s="66">
        <v>703.07</v>
      </c>
      <c r="C162" s="67" t="s">
        <v>180</v>
      </c>
      <c r="D162" s="68" t="s">
        <v>26</v>
      </c>
      <c r="E162" s="69"/>
      <c r="F162" s="70" t="str">
        <f t="shared" si="4"/>
        <v>FHWA 703.07 Asphalt Pavement, Grading B Min</v>
      </c>
      <c r="G162" s="90"/>
      <c r="H162" s="90"/>
      <c r="I162" s="87"/>
      <c r="J162" s="71"/>
      <c r="K162" s="71"/>
      <c r="L162" s="71"/>
      <c r="M162" s="71">
        <v>1</v>
      </c>
      <c r="N162" s="71"/>
      <c r="O162" s="71">
        <v>0.97</v>
      </c>
      <c r="P162" s="71"/>
      <c r="Q162" s="71"/>
      <c r="R162" s="71"/>
      <c r="S162" s="71"/>
      <c r="T162" s="71">
        <v>0.53</v>
      </c>
      <c r="U162" s="342"/>
      <c r="V162" s="71">
        <v>0.4</v>
      </c>
      <c r="W162" s="71">
        <v>0.25</v>
      </c>
      <c r="X162" s="71"/>
      <c r="Y162" s="71"/>
      <c r="Z162" s="71"/>
      <c r="AA162" s="71">
        <v>0.12</v>
      </c>
      <c r="AB162" s="71"/>
      <c r="AC162" s="71">
        <v>0.08</v>
      </c>
      <c r="AD162" s="71"/>
      <c r="AE162" s="71"/>
      <c r="AF162" s="71"/>
      <c r="AG162" s="71"/>
      <c r="AH162" s="71"/>
      <c r="AI162" s="76">
        <v>0.03</v>
      </c>
    </row>
    <row r="163" spans="1:35">
      <c r="A163" s="59" t="s">
        <v>168</v>
      </c>
      <c r="B163" s="60">
        <v>703.07</v>
      </c>
      <c r="C163" s="61" t="s">
        <v>181</v>
      </c>
      <c r="D163" s="62" t="s">
        <v>27</v>
      </c>
      <c r="E163" s="63" t="str">
        <f>A163&amp;" "&amp;B163&amp;" "&amp;C163</f>
        <v>FHWA 703.07 Asphalt Pavement, Grading C</v>
      </c>
      <c r="F163" s="63" t="str">
        <f t="shared" si="4"/>
        <v>FHWA 703.07 Asphalt Pavement, Grading C Max</v>
      </c>
      <c r="G163" s="89"/>
      <c r="H163" s="89"/>
      <c r="I163" s="86"/>
      <c r="J163" s="64"/>
      <c r="K163" s="64"/>
      <c r="L163" s="64"/>
      <c r="M163" s="64"/>
      <c r="N163" s="64"/>
      <c r="O163" s="64">
        <v>1</v>
      </c>
      <c r="P163" s="64"/>
      <c r="Q163" s="64">
        <v>1</v>
      </c>
      <c r="R163" s="64"/>
      <c r="S163" s="64">
        <v>0.88</v>
      </c>
      <c r="T163" s="64"/>
      <c r="U163" s="341"/>
      <c r="V163" s="64">
        <v>0.59</v>
      </c>
      <c r="W163" s="64">
        <v>0.45</v>
      </c>
      <c r="X163" s="64"/>
      <c r="Y163" s="64"/>
      <c r="Z163" s="64"/>
      <c r="AA163" s="64">
        <v>0.28000000000000003</v>
      </c>
      <c r="AB163" s="64"/>
      <c r="AC163" s="64">
        <v>0.21</v>
      </c>
      <c r="AD163" s="64"/>
      <c r="AE163" s="64"/>
      <c r="AF163" s="64"/>
      <c r="AG163" s="64"/>
      <c r="AH163" s="64"/>
      <c r="AI163" s="75">
        <v>7.0000000000000007E-2</v>
      </c>
    </row>
    <row r="164" spans="1:35">
      <c r="A164" s="65" t="s">
        <v>168</v>
      </c>
      <c r="B164" s="66">
        <v>703.07</v>
      </c>
      <c r="C164" s="67" t="s">
        <v>181</v>
      </c>
      <c r="D164" s="68" t="s">
        <v>26</v>
      </c>
      <c r="E164" s="69"/>
      <c r="F164" s="70" t="str">
        <f t="shared" si="4"/>
        <v>FHWA 703.07 Asphalt Pavement, Grading C Min</v>
      </c>
      <c r="G164" s="90"/>
      <c r="H164" s="90"/>
      <c r="I164" s="87"/>
      <c r="J164" s="71"/>
      <c r="K164" s="71"/>
      <c r="L164" s="71"/>
      <c r="M164" s="71"/>
      <c r="N164" s="71"/>
      <c r="O164" s="71">
        <v>1</v>
      </c>
      <c r="P164" s="71"/>
      <c r="Q164" s="71">
        <v>0.97</v>
      </c>
      <c r="R164" s="71"/>
      <c r="S164" s="71">
        <v>0.76</v>
      </c>
      <c r="T164" s="71"/>
      <c r="U164" s="342"/>
      <c r="V164" s="71">
        <v>0.49</v>
      </c>
      <c r="W164" s="71">
        <v>0.36</v>
      </c>
      <c r="X164" s="71"/>
      <c r="Y164" s="71"/>
      <c r="Z164" s="71"/>
      <c r="AA164" s="71">
        <v>0.2</v>
      </c>
      <c r="AB164" s="71"/>
      <c r="AC164" s="71">
        <v>0.13</v>
      </c>
      <c r="AD164" s="71"/>
      <c r="AE164" s="71"/>
      <c r="AF164" s="71"/>
      <c r="AG164" s="71"/>
      <c r="AH164" s="71"/>
      <c r="AI164" s="76">
        <v>0.03</v>
      </c>
    </row>
    <row r="165" spans="1:35">
      <c r="A165" s="59" t="s">
        <v>168</v>
      </c>
      <c r="B165" s="60">
        <v>703.07</v>
      </c>
      <c r="C165" s="61" t="s">
        <v>182</v>
      </c>
      <c r="D165" s="62" t="s">
        <v>27</v>
      </c>
      <c r="E165" s="63" t="str">
        <f>A165&amp;" "&amp;B165&amp;" "&amp;C165</f>
        <v>FHWA 703.07 Asphalt Pavement, Grading D</v>
      </c>
      <c r="F165" s="63" t="str">
        <f t="shared" si="4"/>
        <v>FHWA 703.07 Asphalt Pavement, Grading D Max</v>
      </c>
      <c r="G165" s="89"/>
      <c r="H165" s="89"/>
      <c r="I165" s="86"/>
      <c r="J165" s="64"/>
      <c r="K165" s="64"/>
      <c r="L165" s="64"/>
      <c r="M165" s="64"/>
      <c r="N165" s="64"/>
      <c r="O165" s="64"/>
      <c r="P165" s="64"/>
      <c r="Q165" s="64">
        <v>1</v>
      </c>
      <c r="R165" s="64"/>
      <c r="S165" s="64">
        <v>1</v>
      </c>
      <c r="T165" s="64"/>
      <c r="U165" s="341"/>
      <c r="V165" s="64">
        <v>0.69</v>
      </c>
      <c r="W165" s="64">
        <v>0.49</v>
      </c>
      <c r="X165" s="64"/>
      <c r="Y165" s="64"/>
      <c r="Z165" s="64"/>
      <c r="AA165" s="64">
        <v>0.3</v>
      </c>
      <c r="AB165" s="64"/>
      <c r="AC165" s="64">
        <v>0.21</v>
      </c>
      <c r="AD165" s="64"/>
      <c r="AE165" s="64"/>
      <c r="AF165" s="64"/>
      <c r="AG165" s="64"/>
      <c r="AH165" s="64"/>
      <c r="AI165" s="75">
        <v>0.08</v>
      </c>
    </row>
    <row r="166" spans="1:35">
      <c r="A166" s="65" t="s">
        <v>168</v>
      </c>
      <c r="B166" s="66">
        <v>703.07</v>
      </c>
      <c r="C166" s="67" t="s">
        <v>182</v>
      </c>
      <c r="D166" s="68" t="s">
        <v>26</v>
      </c>
      <c r="E166" s="69"/>
      <c r="F166" s="70" t="str">
        <f t="shared" si="4"/>
        <v>FHWA 703.07 Asphalt Pavement, Grading D Min</v>
      </c>
      <c r="G166" s="90"/>
      <c r="H166" s="90"/>
      <c r="I166" s="87"/>
      <c r="J166" s="71"/>
      <c r="K166" s="71"/>
      <c r="L166" s="71"/>
      <c r="M166" s="71"/>
      <c r="N166" s="71"/>
      <c r="O166" s="71"/>
      <c r="P166" s="71"/>
      <c r="Q166" s="71">
        <v>1</v>
      </c>
      <c r="R166" s="71"/>
      <c r="S166" s="71">
        <v>0.97</v>
      </c>
      <c r="T166" s="71"/>
      <c r="U166" s="342"/>
      <c r="V166" s="71">
        <v>0.56999999999999995</v>
      </c>
      <c r="W166" s="71">
        <v>0.41</v>
      </c>
      <c r="X166" s="71"/>
      <c r="Y166" s="71"/>
      <c r="Z166" s="71"/>
      <c r="AA166" s="71">
        <v>0.22</v>
      </c>
      <c r="AB166" s="71"/>
      <c r="AC166" s="71">
        <v>0.13</v>
      </c>
      <c r="AD166" s="71"/>
      <c r="AE166" s="71"/>
      <c r="AF166" s="71"/>
      <c r="AG166" s="71"/>
      <c r="AH166" s="71"/>
      <c r="AI166" s="76">
        <v>0.03</v>
      </c>
    </row>
    <row r="167" spans="1:35">
      <c r="A167" s="59" t="s">
        <v>168</v>
      </c>
      <c r="B167" s="60">
        <v>703.07</v>
      </c>
      <c r="C167" s="61" t="s">
        <v>183</v>
      </c>
      <c r="D167" s="62" t="s">
        <v>27</v>
      </c>
      <c r="E167" s="63" t="str">
        <f>A167&amp;" "&amp;B167&amp;" "&amp;C167</f>
        <v>FHWA 703.07 Asphalt Pavement, Grading E</v>
      </c>
      <c r="F167" s="63" t="str">
        <f t="shared" si="4"/>
        <v>FHWA 703.07 Asphalt Pavement, Grading E Max</v>
      </c>
      <c r="G167" s="89"/>
      <c r="H167" s="89"/>
      <c r="I167" s="86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>
        <v>1</v>
      </c>
      <c r="U167" s="341"/>
      <c r="V167" s="64">
        <v>1</v>
      </c>
      <c r="W167" s="64">
        <v>0.81</v>
      </c>
      <c r="X167" s="64"/>
      <c r="Y167" s="64"/>
      <c r="Z167" s="64"/>
      <c r="AA167" s="64">
        <v>0.44</v>
      </c>
      <c r="AB167" s="64"/>
      <c r="AC167" s="64">
        <v>0.31</v>
      </c>
      <c r="AD167" s="64"/>
      <c r="AE167" s="64"/>
      <c r="AF167" s="64"/>
      <c r="AG167" s="64"/>
      <c r="AH167" s="64"/>
      <c r="AI167" s="75">
        <v>0.16</v>
      </c>
    </row>
    <row r="168" spans="1:35">
      <c r="A168" s="65" t="s">
        <v>168</v>
      </c>
      <c r="B168" s="66">
        <v>703.07</v>
      </c>
      <c r="C168" s="67" t="s">
        <v>183</v>
      </c>
      <c r="D168" s="68" t="s">
        <v>26</v>
      </c>
      <c r="E168" s="69"/>
      <c r="F168" s="70" t="str">
        <f t="shared" si="4"/>
        <v>FHWA 703.07 Asphalt Pavement, Grading E Min</v>
      </c>
      <c r="G168" s="90"/>
      <c r="H168" s="90"/>
      <c r="I168" s="87"/>
      <c r="J168" s="71"/>
      <c r="K168" s="71"/>
      <c r="L168" s="71"/>
      <c r="M168" s="71"/>
      <c r="N168" s="71"/>
      <c r="O168" s="71"/>
      <c r="P168" s="71"/>
      <c r="Q168" s="71"/>
      <c r="R168" s="71"/>
      <c r="S168" s="71"/>
      <c r="T168" s="71">
        <v>1</v>
      </c>
      <c r="U168" s="342"/>
      <c r="V168" s="71">
        <v>0.97</v>
      </c>
      <c r="W168" s="71">
        <v>0.62</v>
      </c>
      <c r="X168" s="71"/>
      <c r="Y168" s="71"/>
      <c r="Z168" s="71"/>
      <c r="AA168" s="71">
        <v>0.28000000000000003</v>
      </c>
      <c r="AB168" s="71"/>
      <c r="AC168" s="71">
        <v>0.18</v>
      </c>
      <c r="AD168" s="71"/>
      <c r="AE168" s="71"/>
      <c r="AF168" s="71"/>
      <c r="AG168" s="71"/>
      <c r="AH168" s="71"/>
      <c r="AI168" s="76">
        <v>7.0000000000000007E-2</v>
      </c>
    </row>
    <row r="169" spans="1:35">
      <c r="A169" s="59" t="s">
        <v>168</v>
      </c>
      <c r="B169" s="60">
        <v>703.07</v>
      </c>
      <c r="C169" s="61" t="s">
        <v>184</v>
      </c>
      <c r="D169" s="62" t="s">
        <v>27</v>
      </c>
      <c r="E169" s="63" t="str">
        <f>A169&amp;" "&amp;B169&amp;" "&amp;C169</f>
        <v>FHWA 703.07 Asphalt Pavement, Grading F</v>
      </c>
      <c r="F169" s="63" t="str">
        <f t="shared" si="4"/>
        <v>FHWA 703.07 Asphalt Pavement, Grading F Max</v>
      </c>
      <c r="G169" s="89"/>
      <c r="H169" s="89"/>
      <c r="I169" s="86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>
        <v>1</v>
      </c>
      <c r="U169" s="341"/>
      <c r="V169" s="64">
        <v>0.47</v>
      </c>
      <c r="W169" s="64">
        <v>0.13</v>
      </c>
      <c r="X169" s="64"/>
      <c r="Y169" s="64"/>
      <c r="Z169" s="64"/>
      <c r="AA169" s="64"/>
      <c r="AB169" s="64"/>
      <c r="AC169" s="64"/>
      <c r="AD169" s="64"/>
      <c r="AE169" s="64"/>
      <c r="AF169" s="64"/>
      <c r="AG169" s="64"/>
      <c r="AH169" s="64"/>
      <c r="AI169" s="75">
        <v>0.04</v>
      </c>
    </row>
    <row r="170" spans="1:35">
      <c r="A170" s="65" t="s">
        <v>168</v>
      </c>
      <c r="B170" s="66">
        <v>703.07</v>
      </c>
      <c r="C170" s="67" t="s">
        <v>184</v>
      </c>
      <c r="D170" s="68" t="s">
        <v>26</v>
      </c>
      <c r="E170" s="69"/>
      <c r="F170" s="70" t="str">
        <f t="shared" si="4"/>
        <v>FHWA 703.07 Asphalt Pavement, Grading F Min</v>
      </c>
      <c r="G170" s="90"/>
      <c r="H170" s="90"/>
      <c r="I170" s="87"/>
      <c r="J170" s="71"/>
      <c r="K170" s="71"/>
      <c r="L170" s="71"/>
      <c r="M170" s="71"/>
      <c r="N170" s="71"/>
      <c r="O170" s="71"/>
      <c r="P170" s="71"/>
      <c r="Q170" s="71"/>
      <c r="R170" s="71"/>
      <c r="S170" s="71"/>
      <c r="T170" s="71">
        <v>1</v>
      </c>
      <c r="U170" s="342"/>
      <c r="V170" s="71">
        <v>0.33</v>
      </c>
      <c r="W170" s="71">
        <v>7.0000000000000007E-2</v>
      </c>
      <c r="X170" s="71"/>
      <c r="Y170" s="71"/>
      <c r="Z170" s="71"/>
      <c r="AA170" s="71"/>
      <c r="AB170" s="71"/>
      <c r="AC170" s="71"/>
      <c r="AD170" s="71"/>
      <c r="AE170" s="71"/>
      <c r="AF170" s="71"/>
      <c r="AG170" s="71"/>
      <c r="AH170" s="71"/>
      <c r="AI170" s="76">
        <v>0.02</v>
      </c>
    </row>
    <row r="171" spans="1:35">
      <c r="A171" s="59" t="s">
        <v>185</v>
      </c>
      <c r="B171" s="60" t="s">
        <v>186</v>
      </c>
      <c r="C171" s="78">
        <v>1</v>
      </c>
      <c r="D171" s="62" t="s">
        <v>27</v>
      </c>
      <c r="E171" s="63" t="str">
        <f>A171&amp;" "&amp;B171&amp;" "&amp;C171</f>
        <v>custom specs 1</v>
      </c>
      <c r="F171" s="63" t="str">
        <f t="shared" si="4"/>
        <v>custom specs 1 Max</v>
      </c>
      <c r="G171" s="89"/>
      <c r="H171" s="89"/>
      <c r="I171" s="86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341"/>
      <c r="V171" s="64"/>
      <c r="W171" s="64"/>
      <c r="X171" s="64"/>
      <c r="Y171" s="64"/>
      <c r="Z171" s="64"/>
      <c r="AA171" s="64"/>
      <c r="AB171" s="64"/>
      <c r="AC171" s="64"/>
      <c r="AD171" s="64"/>
      <c r="AE171" s="64"/>
      <c r="AF171" s="64"/>
      <c r="AG171" s="64"/>
      <c r="AH171" s="64"/>
      <c r="AI171" s="75"/>
    </row>
    <row r="172" spans="1:35">
      <c r="A172" s="65" t="s">
        <v>185</v>
      </c>
      <c r="B172" s="66" t="s">
        <v>186</v>
      </c>
      <c r="C172" s="79">
        <v>1</v>
      </c>
      <c r="D172" s="68" t="s">
        <v>26</v>
      </c>
      <c r="E172" s="69"/>
      <c r="F172" s="70" t="str">
        <f t="shared" si="4"/>
        <v>custom specs 1 Min</v>
      </c>
      <c r="G172" s="90"/>
      <c r="H172" s="90"/>
      <c r="I172" s="87"/>
      <c r="J172" s="71"/>
      <c r="K172" s="71"/>
      <c r="L172" s="71"/>
      <c r="M172" s="71"/>
      <c r="N172" s="71"/>
      <c r="O172" s="71"/>
      <c r="P172" s="71"/>
      <c r="Q172" s="71"/>
      <c r="R172" s="71"/>
      <c r="S172" s="71"/>
      <c r="T172" s="71"/>
      <c r="U172" s="342"/>
      <c r="V172" s="71"/>
      <c r="W172" s="71"/>
      <c r="X172" s="71"/>
      <c r="Y172" s="71"/>
      <c r="Z172" s="71"/>
      <c r="AA172" s="71"/>
      <c r="AB172" s="71"/>
      <c r="AC172" s="71"/>
      <c r="AD172" s="71"/>
      <c r="AE172" s="71"/>
      <c r="AF172" s="71"/>
      <c r="AG172" s="71"/>
      <c r="AH172" s="71"/>
      <c r="AI172" s="76"/>
    </row>
    <row r="173" spans="1:35">
      <c r="A173" s="59" t="s">
        <v>185</v>
      </c>
      <c r="B173" s="60" t="s">
        <v>186</v>
      </c>
      <c r="C173" s="78">
        <v>2</v>
      </c>
      <c r="D173" s="62" t="s">
        <v>27</v>
      </c>
      <c r="E173" s="63" t="str">
        <f>A173&amp;" "&amp;B173&amp;" "&amp;C173</f>
        <v>custom specs 2</v>
      </c>
      <c r="F173" s="63" t="str">
        <f t="shared" si="4"/>
        <v>custom specs 2 Max</v>
      </c>
      <c r="G173" s="89"/>
      <c r="H173" s="89"/>
      <c r="I173" s="86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341"/>
      <c r="V173" s="64"/>
      <c r="W173" s="64"/>
      <c r="X173" s="64"/>
      <c r="Y173" s="64"/>
      <c r="Z173" s="64"/>
      <c r="AA173" s="64"/>
      <c r="AB173" s="64"/>
      <c r="AC173" s="64"/>
      <c r="AD173" s="64"/>
      <c r="AE173" s="64"/>
      <c r="AF173" s="64"/>
      <c r="AG173" s="64"/>
      <c r="AH173" s="64"/>
      <c r="AI173" s="75"/>
    </row>
    <row r="174" spans="1:35">
      <c r="A174" s="65" t="s">
        <v>185</v>
      </c>
      <c r="B174" s="66" t="s">
        <v>186</v>
      </c>
      <c r="C174" s="79">
        <v>2</v>
      </c>
      <c r="D174" s="68" t="s">
        <v>26</v>
      </c>
      <c r="E174" s="69"/>
      <c r="F174" s="70" t="str">
        <f t="shared" si="4"/>
        <v>custom specs 2 Min</v>
      </c>
      <c r="G174" s="90"/>
      <c r="H174" s="90"/>
      <c r="I174" s="87"/>
      <c r="J174" s="71"/>
      <c r="K174" s="71"/>
      <c r="L174" s="71"/>
      <c r="M174" s="71"/>
      <c r="N174" s="71"/>
      <c r="O174" s="71"/>
      <c r="P174" s="71"/>
      <c r="Q174" s="71"/>
      <c r="R174" s="71"/>
      <c r="S174" s="71"/>
      <c r="T174" s="71"/>
      <c r="U174" s="342"/>
      <c r="V174" s="71"/>
      <c r="W174" s="71"/>
      <c r="X174" s="71"/>
      <c r="Y174" s="71"/>
      <c r="Z174" s="71"/>
      <c r="AA174" s="71"/>
      <c r="AB174" s="71"/>
      <c r="AC174" s="71"/>
      <c r="AD174" s="71"/>
      <c r="AE174" s="71"/>
      <c r="AF174" s="71"/>
      <c r="AG174" s="71"/>
      <c r="AH174" s="71"/>
      <c r="AI174" s="76"/>
    </row>
    <row r="175" spans="1:35">
      <c r="A175" s="59" t="s">
        <v>185</v>
      </c>
      <c r="B175" s="60" t="s">
        <v>186</v>
      </c>
      <c r="C175" s="78">
        <v>3</v>
      </c>
      <c r="D175" s="62" t="s">
        <v>27</v>
      </c>
      <c r="E175" s="63" t="str">
        <f>A175&amp;" "&amp;B175&amp;" "&amp;C175</f>
        <v>custom specs 3</v>
      </c>
      <c r="F175" s="63" t="str">
        <f t="shared" si="4"/>
        <v>custom specs 3 Max</v>
      </c>
      <c r="G175" s="89"/>
      <c r="H175" s="89"/>
      <c r="I175" s="86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341"/>
      <c r="V175" s="64"/>
      <c r="W175" s="64"/>
      <c r="X175" s="64"/>
      <c r="Y175" s="64"/>
      <c r="Z175" s="64"/>
      <c r="AA175" s="64"/>
      <c r="AB175" s="64"/>
      <c r="AC175" s="64"/>
      <c r="AD175" s="64"/>
      <c r="AE175" s="64"/>
      <c r="AF175" s="64"/>
      <c r="AG175" s="64"/>
      <c r="AH175" s="64"/>
      <c r="AI175" s="75"/>
    </row>
    <row r="176" spans="1:35">
      <c r="A176" s="65" t="s">
        <v>185</v>
      </c>
      <c r="B176" s="66" t="s">
        <v>186</v>
      </c>
      <c r="C176" s="79">
        <v>3</v>
      </c>
      <c r="D176" s="68" t="s">
        <v>26</v>
      </c>
      <c r="E176" s="69"/>
      <c r="F176" s="70" t="str">
        <f t="shared" si="4"/>
        <v>custom specs 3 Min</v>
      </c>
      <c r="G176" s="90"/>
      <c r="H176" s="90"/>
      <c r="I176" s="87"/>
      <c r="J176" s="71"/>
      <c r="K176" s="71"/>
      <c r="L176" s="71"/>
      <c r="M176" s="71"/>
      <c r="N176" s="71"/>
      <c r="O176" s="71"/>
      <c r="P176" s="71"/>
      <c r="Q176" s="71"/>
      <c r="R176" s="71"/>
      <c r="S176" s="71"/>
      <c r="T176" s="71"/>
      <c r="U176" s="342"/>
      <c r="V176" s="71"/>
      <c r="W176" s="71"/>
      <c r="X176" s="71"/>
      <c r="Y176" s="71"/>
      <c r="Z176" s="71"/>
      <c r="AA176" s="71"/>
      <c r="AB176" s="71"/>
      <c r="AC176" s="71"/>
      <c r="AD176" s="71"/>
      <c r="AE176" s="71"/>
      <c r="AF176" s="71"/>
      <c r="AG176" s="71"/>
      <c r="AH176" s="71"/>
      <c r="AI176" s="76"/>
    </row>
    <row r="177" spans="1:35">
      <c r="A177" s="59" t="s">
        <v>185</v>
      </c>
      <c r="B177" s="60" t="s">
        <v>186</v>
      </c>
      <c r="C177" s="78">
        <v>4</v>
      </c>
      <c r="D177" s="62" t="s">
        <v>27</v>
      </c>
      <c r="E177" s="63" t="str">
        <f>A177&amp;" "&amp;B177&amp;" "&amp;C177</f>
        <v>custom specs 4</v>
      </c>
      <c r="F177" s="63" t="str">
        <f t="shared" si="4"/>
        <v>custom specs 4 Max</v>
      </c>
      <c r="G177" s="89"/>
      <c r="H177" s="89"/>
      <c r="I177" s="86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V177" s="64"/>
      <c r="W177" s="64"/>
      <c r="X177" s="64"/>
      <c r="Y177" s="64"/>
      <c r="Z177" s="64"/>
      <c r="AA177" s="64"/>
      <c r="AB177" s="64"/>
      <c r="AC177" s="64"/>
      <c r="AD177" s="64"/>
      <c r="AE177" s="64"/>
      <c r="AF177" s="64"/>
      <c r="AG177" s="64"/>
      <c r="AH177" s="64"/>
      <c r="AI177" s="75"/>
    </row>
    <row r="178" spans="1:35">
      <c r="A178" s="65" t="s">
        <v>185</v>
      </c>
      <c r="B178" s="66" t="s">
        <v>186</v>
      </c>
      <c r="C178" s="79">
        <v>4</v>
      </c>
      <c r="D178" s="68" t="s">
        <v>26</v>
      </c>
      <c r="E178" s="69"/>
      <c r="F178" s="70" t="str">
        <f t="shared" si="4"/>
        <v>custom specs 4 Min</v>
      </c>
      <c r="G178" s="90"/>
      <c r="H178" s="90"/>
      <c r="I178" s="87"/>
      <c r="J178" s="71"/>
      <c r="K178" s="71"/>
      <c r="L178" s="71"/>
      <c r="M178" s="71"/>
      <c r="N178" s="71"/>
      <c r="O178" s="71"/>
      <c r="P178" s="71"/>
      <c r="Q178" s="71"/>
      <c r="R178" s="71"/>
      <c r="S178" s="71"/>
      <c r="V178" s="71"/>
      <c r="W178" s="71"/>
      <c r="X178" s="71"/>
      <c r="Y178" s="71"/>
      <c r="Z178" s="71"/>
      <c r="AA178" s="71"/>
      <c r="AB178" s="71"/>
      <c r="AC178" s="71"/>
      <c r="AD178" s="71"/>
      <c r="AE178" s="71"/>
      <c r="AF178" s="71"/>
      <c r="AG178" s="71"/>
      <c r="AH178" s="71"/>
      <c r="AI178" s="76"/>
    </row>
    <row r="179" spans="1:35">
      <c r="A179" s="59" t="s">
        <v>185</v>
      </c>
      <c r="B179" s="60" t="s">
        <v>186</v>
      </c>
      <c r="C179" s="78">
        <v>5</v>
      </c>
      <c r="D179" s="62" t="s">
        <v>27</v>
      </c>
      <c r="E179" s="63" t="str">
        <f>A179&amp;" "&amp;B179&amp;" "&amp;C179</f>
        <v>custom specs 5</v>
      </c>
      <c r="F179" s="63" t="str">
        <f t="shared" si="4"/>
        <v>custom specs 5 Max</v>
      </c>
      <c r="G179" s="89"/>
      <c r="H179" s="89"/>
      <c r="I179" s="86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341"/>
      <c r="V179" s="64"/>
      <c r="W179" s="64"/>
      <c r="X179" s="64"/>
      <c r="Y179" s="64"/>
      <c r="Z179" s="64"/>
      <c r="AA179" s="64"/>
      <c r="AB179" s="64"/>
      <c r="AC179" s="64"/>
      <c r="AD179" s="64"/>
      <c r="AE179" s="64"/>
      <c r="AF179" s="64"/>
      <c r="AG179" s="64"/>
      <c r="AH179" s="64"/>
      <c r="AI179" s="75"/>
    </row>
    <row r="180" spans="1:35">
      <c r="A180" s="65" t="s">
        <v>185</v>
      </c>
      <c r="B180" s="66" t="s">
        <v>186</v>
      </c>
      <c r="C180" s="79">
        <v>5</v>
      </c>
      <c r="D180" s="68" t="s">
        <v>26</v>
      </c>
      <c r="E180" s="69"/>
      <c r="F180" s="70" t="str">
        <f t="shared" si="4"/>
        <v>custom specs 5 Min</v>
      </c>
      <c r="G180" s="90"/>
      <c r="H180" s="90"/>
      <c r="I180" s="87"/>
      <c r="J180" s="71"/>
      <c r="K180" s="71"/>
      <c r="L180" s="71"/>
      <c r="M180" s="71"/>
      <c r="N180" s="71"/>
      <c r="O180" s="71"/>
      <c r="P180" s="71"/>
      <c r="Q180" s="71"/>
      <c r="R180" s="71"/>
      <c r="S180" s="71"/>
      <c r="T180" s="71"/>
      <c r="U180" s="342"/>
      <c r="V180" s="71"/>
      <c r="W180" s="71"/>
      <c r="X180" s="71"/>
      <c r="Y180" s="71"/>
      <c r="Z180" s="71"/>
      <c r="AA180" s="71"/>
      <c r="AB180" s="71"/>
      <c r="AC180" s="71"/>
      <c r="AD180" s="71"/>
      <c r="AE180" s="71"/>
      <c r="AF180" s="71"/>
      <c r="AG180" s="71"/>
      <c r="AH180" s="71"/>
      <c r="AI180" s="76"/>
    </row>
    <row r="181" spans="1:35">
      <c r="A181" s="59" t="s">
        <v>185</v>
      </c>
      <c r="B181" s="60" t="s">
        <v>186</v>
      </c>
      <c r="C181" s="78">
        <v>6</v>
      </c>
      <c r="D181" s="62" t="s">
        <v>27</v>
      </c>
      <c r="E181" s="63" t="str">
        <f>A181&amp;" "&amp;B181&amp;" "&amp;C181</f>
        <v>custom specs 6</v>
      </c>
      <c r="F181" s="63" t="str">
        <f t="shared" si="4"/>
        <v>custom specs 6 Max</v>
      </c>
      <c r="G181" s="89"/>
      <c r="H181" s="89"/>
      <c r="I181" s="86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341"/>
      <c r="V181" s="64"/>
      <c r="W181" s="64"/>
      <c r="X181" s="64"/>
      <c r="Y181" s="64"/>
      <c r="Z181" s="64"/>
      <c r="AA181" s="64"/>
      <c r="AB181" s="64"/>
      <c r="AC181" s="64"/>
      <c r="AD181" s="64"/>
      <c r="AE181" s="64"/>
      <c r="AF181" s="64"/>
      <c r="AG181" s="64"/>
      <c r="AH181" s="64"/>
      <c r="AI181" s="75"/>
    </row>
    <row r="182" spans="1:35">
      <c r="A182" s="65" t="s">
        <v>185</v>
      </c>
      <c r="B182" s="66" t="s">
        <v>186</v>
      </c>
      <c r="C182" s="79">
        <v>6</v>
      </c>
      <c r="D182" s="68" t="s">
        <v>26</v>
      </c>
      <c r="E182" s="69"/>
      <c r="F182" s="70" t="str">
        <f t="shared" si="4"/>
        <v>custom specs 6 Min</v>
      </c>
      <c r="G182" s="90"/>
      <c r="H182" s="90"/>
      <c r="I182" s="87"/>
      <c r="J182" s="71"/>
      <c r="K182" s="71"/>
      <c r="L182" s="71"/>
      <c r="M182" s="71"/>
      <c r="N182" s="71"/>
      <c r="O182" s="71"/>
      <c r="P182" s="71"/>
      <c r="Q182" s="71"/>
      <c r="R182" s="71"/>
      <c r="S182" s="71"/>
      <c r="T182" s="71"/>
      <c r="U182" s="342"/>
      <c r="V182" s="71"/>
      <c r="W182" s="71"/>
      <c r="X182" s="71"/>
      <c r="Y182" s="71"/>
      <c r="Z182" s="71"/>
      <c r="AA182" s="71"/>
      <c r="AB182" s="71"/>
      <c r="AC182" s="71"/>
      <c r="AD182" s="71"/>
      <c r="AE182" s="71"/>
      <c r="AF182" s="71"/>
      <c r="AG182" s="71"/>
      <c r="AH182" s="71"/>
      <c r="AI182" s="76"/>
    </row>
    <row r="183" spans="1:35">
      <c r="A183" s="59" t="s">
        <v>185</v>
      </c>
      <c r="B183" s="60" t="s">
        <v>186</v>
      </c>
      <c r="C183" s="78">
        <v>7</v>
      </c>
      <c r="D183" s="62" t="s">
        <v>27</v>
      </c>
      <c r="E183" s="63" t="str">
        <f>A183&amp;" "&amp;B183&amp;" "&amp;C183</f>
        <v>custom specs 7</v>
      </c>
      <c r="F183" s="63" t="str">
        <f t="shared" si="4"/>
        <v>custom specs 7 Max</v>
      </c>
      <c r="G183" s="89"/>
      <c r="H183" s="89"/>
      <c r="I183" s="86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341"/>
      <c r="V183" s="64"/>
      <c r="W183" s="64"/>
      <c r="X183" s="64"/>
      <c r="Y183" s="64"/>
      <c r="Z183" s="64"/>
      <c r="AA183" s="64"/>
      <c r="AB183" s="64"/>
      <c r="AC183" s="64"/>
      <c r="AD183" s="64"/>
      <c r="AE183" s="64"/>
      <c r="AF183" s="64"/>
      <c r="AG183" s="64"/>
      <c r="AH183" s="64"/>
      <c r="AI183" s="75"/>
    </row>
    <row r="184" spans="1:35">
      <c r="A184" s="65" t="s">
        <v>185</v>
      </c>
      <c r="B184" s="66" t="s">
        <v>186</v>
      </c>
      <c r="C184" s="79">
        <v>7</v>
      </c>
      <c r="D184" s="68" t="s">
        <v>26</v>
      </c>
      <c r="E184" s="69"/>
      <c r="F184" s="70" t="str">
        <f t="shared" si="4"/>
        <v>custom specs 7 Min</v>
      </c>
      <c r="G184" s="90"/>
      <c r="H184" s="90"/>
      <c r="I184" s="87"/>
      <c r="J184" s="71"/>
      <c r="K184" s="71"/>
      <c r="L184" s="71"/>
      <c r="M184" s="71"/>
      <c r="N184" s="71"/>
      <c r="O184" s="71"/>
      <c r="P184" s="71"/>
      <c r="Q184" s="71"/>
      <c r="R184" s="71"/>
      <c r="S184" s="71"/>
      <c r="T184" s="71"/>
      <c r="U184" s="342"/>
      <c r="V184" s="71"/>
      <c r="W184" s="71"/>
      <c r="X184" s="71"/>
      <c r="Y184" s="71"/>
      <c r="Z184" s="71"/>
      <c r="AA184" s="71"/>
      <c r="AB184" s="71"/>
      <c r="AC184" s="71"/>
      <c r="AD184" s="71"/>
      <c r="AE184" s="71"/>
      <c r="AF184" s="71"/>
      <c r="AG184" s="71"/>
      <c r="AH184" s="71"/>
      <c r="AI184" s="76"/>
    </row>
    <row r="185" spans="1:35">
      <c r="A185" s="59" t="s">
        <v>185</v>
      </c>
      <c r="B185" s="60" t="s">
        <v>186</v>
      </c>
      <c r="C185" s="78">
        <v>8</v>
      </c>
      <c r="D185" s="62" t="s">
        <v>27</v>
      </c>
      <c r="E185" s="63" t="str">
        <f>A185&amp;" "&amp;B185&amp;" "&amp;C185</f>
        <v>custom specs 8</v>
      </c>
      <c r="F185" s="63" t="str">
        <f t="shared" si="4"/>
        <v>custom specs 8 Max</v>
      </c>
      <c r="G185" s="89"/>
      <c r="H185" s="89"/>
      <c r="I185" s="86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341"/>
      <c r="V185" s="64"/>
      <c r="W185" s="64"/>
      <c r="X185" s="64"/>
      <c r="Y185" s="64"/>
      <c r="Z185" s="64"/>
      <c r="AA185" s="64"/>
      <c r="AB185" s="64"/>
      <c r="AC185" s="64"/>
      <c r="AD185" s="64"/>
      <c r="AE185" s="64"/>
      <c r="AF185" s="64"/>
      <c r="AG185" s="64"/>
      <c r="AH185" s="64"/>
      <c r="AI185" s="75"/>
    </row>
    <row r="186" spans="1:35">
      <c r="A186" s="65" t="s">
        <v>185</v>
      </c>
      <c r="B186" s="66" t="s">
        <v>186</v>
      </c>
      <c r="C186" s="79">
        <v>8</v>
      </c>
      <c r="D186" s="68" t="s">
        <v>26</v>
      </c>
      <c r="E186" s="69"/>
      <c r="F186" s="70" t="str">
        <f t="shared" si="4"/>
        <v>custom specs 8 Min</v>
      </c>
      <c r="G186" s="90"/>
      <c r="H186" s="90"/>
      <c r="I186" s="87"/>
      <c r="J186" s="71"/>
      <c r="K186" s="71"/>
      <c r="L186" s="71"/>
      <c r="M186" s="71"/>
      <c r="N186" s="71"/>
      <c r="O186" s="71"/>
      <c r="P186" s="71"/>
      <c r="Q186" s="71"/>
      <c r="R186" s="71"/>
      <c r="S186" s="71"/>
      <c r="T186" s="71"/>
      <c r="U186" s="342"/>
      <c r="V186" s="71"/>
      <c r="W186" s="71"/>
      <c r="X186" s="71"/>
      <c r="Y186" s="71"/>
      <c r="Z186" s="71"/>
      <c r="AA186" s="71"/>
      <c r="AB186" s="71"/>
      <c r="AC186" s="71"/>
      <c r="AD186" s="71"/>
      <c r="AE186" s="71"/>
      <c r="AF186" s="71"/>
      <c r="AG186" s="71"/>
      <c r="AH186" s="71"/>
      <c r="AI186" s="76"/>
    </row>
    <row r="187" spans="1:35">
      <c r="A187" s="59" t="s">
        <v>185</v>
      </c>
      <c r="B187" s="60" t="s">
        <v>186</v>
      </c>
      <c r="C187" s="78">
        <v>9</v>
      </c>
      <c r="D187" s="62" t="s">
        <v>27</v>
      </c>
      <c r="E187" s="63" t="str">
        <f>A187&amp;" "&amp;B187&amp;" "&amp;C187</f>
        <v>custom specs 9</v>
      </c>
      <c r="F187" s="63" t="str">
        <f t="shared" si="4"/>
        <v>custom specs 9 Max</v>
      </c>
      <c r="G187" s="89"/>
      <c r="H187" s="89"/>
      <c r="I187" s="86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341"/>
      <c r="V187" s="64"/>
      <c r="W187" s="64"/>
      <c r="X187" s="64"/>
      <c r="Y187" s="64"/>
      <c r="Z187" s="64"/>
      <c r="AA187" s="64"/>
      <c r="AB187" s="64"/>
      <c r="AC187" s="64"/>
      <c r="AD187" s="64"/>
      <c r="AE187" s="64"/>
      <c r="AF187" s="64"/>
      <c r="AG187" s="64"/>
      <c r="AH187" s="64"/>
      <c r="AI187" s="75"/>
    </row>
    <row r="188" spans="1:35">
      <c r="A188" s="65" t="s">
        <v>185</v>
      </c>
      <c r="B188" s="66" t="s">
        <v>186</v>
      </c>
      <c r="C188" s="79">
        <v>9</v>
      </c>
      <c r="D188" s="68" t="s">
        <v>26</v>
      </c>
      <c r="E188" s="69"/>
      <c r="F188" s="70" t="str">
        <f t="shared" si="4"/>
        <v>custom specs 9 Min</v>
      </c>
      <c r="G188" s="90"/>
      <c r="H188" s="90"/>
      <c r="I188" s="87"/>
      <c r="J188" s="71"/>
      <c r="K188" s="71"/>
      <c r="L188" s="71"/>
      <c r="M188" s="71"/>
      <c r="N188" s="71"/>
      <c r="O188" s="71"/>
      <c r="P188" s="71"/>
      <c r="Q188" s="71"/>
      <c r="R188" s="71"/>
      <c r="S188" s="71"/>
      <c r="T188" s="71"/>
      <c r="U188" s="342"/>
      <c r="V188" s="71"/>
      <c r="W188" s="71"/>
      <c r="X188" s="71"/>
      <c r="Y188" s="71"/>
      <c r="Z188" s="71"/>
      <c r="AA188" s="71"/>
      <c r="AB188" s="71"/>
      <c r="AC188" s="71"/>
      <c r="AD188" s="71"/>
      <c r="AE188" s="71"/>
      <c r="AF188" s="71"/>
      <c r="AG188" s="71"/>
      <c r="AH188" s="71"/>
      <c r="AI188" s="76"/>
    </row>
    <row r="189" spans="1:35">
      <c r="A189" s="59" t="s">
        <v>185</v>
      </c>
      <c r="B189" s="60" t="s">
        <v>186</v>
      </c>
      <c r="C189" s="78">
        <v>10</v>
      </c>
      <c r="D189" s="62" t="s">
        <v>27</v>
      </c>
      <c r="E189" s="63" t="str">
        <f>A189&amp;" "&amp;B189&amp;" "&amp;C189</f>
        <v>custom specs 10</v>
      </c>
      <c r="F189" s="63" t="str">
        <f t="shared" si="4"/>
        <v>custom specs 10 Max</v>
      </c>
      <c r="G189" s="89"/>
      <c r="H189" s="89"/>
      <c r="I189" s="86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341"/>
      <c r="V189" s="64"/>
      <c r="W189" s="64"/>
      <c r="X189" s="64"/>
      <c r="Y189" s="64"/>
      <c r="Z189" s="64"/>
      <c r="AA189" s="64"/>
      <c r="AB189" s="64"/>
      <c r="AC189" s="64"/>
      <c r="AD189" s="64"/>
      <c r="AE189" s="64"/>
      <c r="AF189" s="64"/>
      <c r="AG189" s="64"/>
      <c r="AH189" s="64"/>
      <c r="AI189" s="75"/>
    </row>
    <row r="190" spans="1:35">
      <c r="A190" s="65" t="s">
        <v>185</v>
      </c>
      <c r="B190" s="66" t="s">
        <v>186</v>
      </c>
      <c r="C190" s="79">
        <v>10</v>
      </c>
      <c r="D190" s="68" t="s">
        <v>26</v>
      </c>
      <c r="E190" s="69"/>
      <c r="F190" s="70" t="str">
        <f t="shared" si="4"/>
        <v>custom specs 10 Min</v>
      </c>
      <c r="G190" s="90"/>
      <c r="H190" s="90"/>
      <c r="I190" s="87"/>
      <c r="J190" s="71"/>
      <c r="K190" s="71"/>
      <c r="L190" s="71"/>
      <c r="M190" s="71"/>
      <c r="N190" s="71"/>
      <c r="O190" s="71"/>
      <c r="P190" s="71"/>
      <c r="Q190" s="71"/>
      <c r="R190" s="71"/>
      <c r="S190" s="71"/>
      <c r="T190" s="71"/>
      <c r="U190" s="342"/>
      <c r="V190" s="71"/>
      <c r="W190" s="71"/>
      <c r="X190" s="71"/>
      <c r="Y190" s="71"/>
      <c r="Z190" s="71"/>
      <c r="AA190" s="71"/>
      <c r="AB190" s="71"/>
      <c r="AC190" s="71"/>
      <c r="AD190" s="71"/>
      <c r="AE190" s="71"/>
      <c r="AF190" s="71"/>
      <c r="AG190" s="71"/>
      <c r="AH190" s="71"/>
      <c r="AI190" s="76"/>
    </row>
    <row r="191" spans="1:35">
      <c r="A191" s="59" t="s">
        <v>185</v>
      </c>
      <c r="B191" s="60" t="s">
        <v>186</v>
      </c>
      <c r="C191" s="78">
        <v>11</v>
      </c>
      <c r="D191" s="62" t="s">
        <v>27</v>
      </c>
      <c r="E191" s="63" t="str">
        <f>A191&amp;" "&amp;B191&amp;" "&amp;C191</f>
        <v>custom specs 11</v>
      </c>
      <c r="F191" s="63" t="str">
        <f t="shared" ref="F191:F254" si="5">A191&amp;" "&amp;B191&amp;" "&amp;C191&amp;" "&amp;D191</f>
        <v>custom specs 11 Max</v>
      </c>
      <c r="G191" s="89"/>
      <c r="H191" s="89"/>
      <c r="I191" s="86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341"/>
      <c r="V191" s="64"/>
      <c r="W191" s="64"/>
      <c r="X191" s="64"/>
      <c r="Y191" s="64"/>
      <c r="Z191" s="64"/>
      <c r="AA191" s="64"/>
      <c r="AB191" s="64"/>
      <c r="AC191" s="64"/>
      <c r="AD191" s="64"/>
      <c r="AE191" s="64"/>
      <c r="AF191" s="64"/>
      <c r="AG191" s="64"/>
      <c r="AH191" s="64"/>
      <c r="AI191" s="75"/>
    </row>
    <row r="192" spans="1:35">
      <c r="A192" s="65" t="s">
        <v>185</v>
      </c>
      <c r="B192" s="66" t="s">
        <v>186</v>
      </c>
      <c r="C192" s="79">
        <v>11</v>
      </c>
      <c r="D192" s="68" t="s">
        <v>26</v>
      </c>
      <c r="E192" s="69"/>
      <c r="F192" s="70" t="str">
        <f t="shared" si="5"/>
        <v>custom specs 11 Min</v>
      </c>
      <c r="G192" s="90"/>
      <c r="H192" s="90"/>
      <c r="I192" s="87"/>
      <c r="J192" s="71"/>
      <c r="K192" s="71"/>
      <c r="L192" s="71"/>
      <c r="M192" s="71"/>
      <c r="N192" s="71"/>
      <c r="O192" s="71"/>
      <c r="P192" s="71"/>
      <c r="Q192" s="71"/>
      <c r="R192" s="71"/>
      <c r="S192" s="71"/>
      <c r="T192" s="71"/>
      <c r="U192" s="342"/>
      <c r="V192" s="71"/>
      <c r="W192" s="71"/>
      <c r="X192" s="71"/>
      <c r="Y192" s="71"/>
      <c r="Z192" s="71"/>
      <c r="AA192" s="71"/>
      <c r="AB192" s="71"/>
      <c r="AC192" s="71"/>
      <c r="AD192" s="71"/>
      <c r="AE192" s="71"/>
      <c r="AF192" s="71"/>
      <c r="AG192" s="71"/>
      <c r="AH192" s="71"/>
      <c r="AI192" s="76"/>
    </row>
    <row r="193" spans="1:35">
      <c r="A193" s="59" t="s">
        <v>185</v>
      </c>
      <c r="B193" s="60" t="s">
        <v>186</v>
      </c>
      <c r="C193" s="78">
        <v>12</v>
      </c>
      <c r="D193" s="62" t="s">
        <v>27</v>
      </c>
      <c r="E193" s="63" t="str">
        <f>A193&amp;" "&amp;B193&amp;" "&amp;C193</f>
        <v>custom specs 12</v>
      </c>
      <c r="F193" s="63" t="str">
        <f t="shared" si="5"/>
        <v>custom specs 12 Max</v>
      </c>
      <c r="G193" s="89"/>
      <c r="H193" s="89"/>
      <c r="I193" s="86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341"/>
      <c r="V193" s="64"/>
      <c r="W193" s="64"/>
      <c r="X193" s="64"/>
      <c r="Y193" s="64"/>
      <c r="Z193" s="64"/>
      <c r="AA193" s="64"/>
      <c r="AB193" s="64"/>
      <c r="AC193" s="64"/>
      <c r="AD193" s="64"/>
      <c r="AE193" s="64"/>
      <c r="AF193" s="64"/>
      <c r="AG193" s="64"/>
      <c r="AH193" s="64"/>
      <c r="AI193" s="75"/>
    </row>
    <row r="194" spans="1:35">
      <c r="A194" s="65" t="s">
        <v>185</v>
      </c>
      <c r="B194" s="66" t="s">
        <v>186</v>
      </c>
      <c r="C194" s="79">
        <v>12</v>
      </c>
      <c r="D194" s="68" t="s">
        <v>26</v>
      </c>
      <c r="E194" s="69"/>
      <c r="F194" s="70" t="str">
        <f t="shared" si="5"/>
        <v>custom specs 12 Min</v>
      </c>
      <c r="G194" s="90"/>
      <c r="H194" s="90"/>
      <c r="I194" s="87"/>
      <c r="J194" s="71"/>
      <c r="K194" s="71"/>
      <c r="L194" s="71"/>
      <c r="M194" s="71"/>
      <c r="N194" s="71"/>
      <c r="O194" s="71"/>
      <c r="P194" s="71"/>
      <c r="Q194" s="71"/>
      <c r="R194" s="71"/>
      <c r="S194" s="71"/>
      <c r="T194" s="71"/>
      <c r="U194" s="342"/>
      <c r="V194" s="71"/>
      <c r="W194" s="71"/>
      <c r="X194" s="71"/>
      <c r="Y194" s="71"/>
      <c r="Z194" s="71"/>
      <c r="AA194" s="71"/>
      <c r="AB194" s="71"/>
      <c r="AC194" s="71"/>
      <c r="AD194" s="71"/>
      <c r="AE194" s="71"/>
      <c r="AF194" s="71"/>
      <c r="AG194" s="71"/>
      <c r="AH194" s="71"/>
      <c r="AI194" s="76"/>
    </row>
    <row r="195" spans="1:35">
      <c r="A195" s="59" t="s">
        <v>185</v>
      </c>
      <c r="B195" s="60" t="s">
        <v>186</v>
      </c>
      <c r="C195" s="78">
        <v>13</v>
      </c>
      <c r="D195" s="62" t="s">
        <v>27</v>
      </c>
      <c r="E195" s="63" t="str">
        <f>A195&amp;" "&amp;B195&amp;" "&amp;C195</f>
        <v>custom specs 13</v>
      </c>
      <c r="F195" s="63" t="str">
        <f t="shared" si="5"/>
        <v>custom specs 13 Max</v>
      </c>
      <c r="G195" s="89"/>
      <c r="H195" s="89"/>
      <c r="I195" s="86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341"/>
      <c r="V195" s="64"/>
      <c r="W195" s="64"/>
      <c r="X195" s="64"/>
      <c r="Y195" s="64"/>
      <c r="Z195" s="64"/>
      <c r="AA195" s="64"/>
      <c r="AB195" s="64"/>
      <c r="AC195" s="64"/>
      <c r="AD195" s="64"/>
      <c r="AE195" s="64"/>
      <c r="AF195" s="64"/>
      <c r="AG195" s="64"/>
      <c r="AH195" s="64"/>
      <c r="AI195" s="75"/>
    </row>
    <row r="196" spans="1:35">
      <c r="A196" s="65" t="s">
        <v>185</v>
      </c>
      <c r="B196" s="66" t="s">
        <v>186</v>
      </c>
      <c r="C196" s="79">
        <v>13</v>
      </c>
      <c r="D196" s="68" t="s">
        <v>26</v>
      </c>
      <c r="E196" s="69"/>
      <c r="F196" s="70" t="str">
        <f t="shared" si="5"/>
        <v>custom specs 13 Min</v>
      </c>
      <c r="G196" s="90"/>
      <c r="H196" s="90"/>
      <c r="I196" s="87"/>
      <c r="J196" s="71"/>
      <c r="K196" s="71"/>
      <c r="L196" s="71"/>
      <c r="M196" s="71"/>
      <c r="N196" s="71"/>
      <c r="O196" s="71"/>
      <c r="P196" s="71"/>
      <c r="Q196" s="71"/>
      <c r="R196" s="71"/>
      <c r="S196" s="71"/>
      <c r="T196" s="71"/>
      <c r="U196" s="342"/>
      <c r="V196" s="71"/>
      <c r="W196" s="71"/>
      <c r="X196" s="71"/>
      <c r="Y196" s="71"/>
      <c r="Z196" s="71"/>
      <c r="AA196" s="71"/>
      <c r="AB196" s="71"/>
      <c r="AC196" s="71"/>
      <c r="AD196" s="71"/>
      <c r="AE196" s="71"/>
      <c r="AF196" s="71"/>
      <c r="AG196" s="71"/>
      <c r="AH196" s="71"/>
      <c r="AI196" s="76"/>
    </row>
    <row r="197" spans="1:35">
      <c r="A197" s="59" t="s">
        <v>185</v>
      </c>
      <c r="B197" s="60" t="s">
        <v>186</v>
      </c>
      <c r="C197" s="78">
        <v>14</v>
      </c>
      <c r="D197" s="62" t="s">
        <v>27</v>
      </c>
      <c r="E197" s="63" t="str">
        <f>A197&amp;" "&amp;B197&amp;" "&amp;C197</f>
        <v>custom specs 14</v>
      </c>
      <c r="F197" s="63" t="str">
        <f t="shared" si="5"/>
        <v>custom specs 14 Max</v>
      </c>
      <c r="G197" s="89"/>
      <c r="H197" s="89"/>
      <c r="I197" s="86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341"/>
      <c r="V197" s="64"/>
      <c r="W197" s="64"/>
      <c r="X197" s="64"/>
      <c r="Y197" s="64"/>
      <c r="Z197" s="64"/>
      <c r="AA197" s="64"/>
      <c r="AB197" s="64"/>
      <c r="AC197" s="64"/>
      <c r="AD197" s="64"/>
      <c r="AE197" s="64"/>
      <c r="AF197" s="64"/>
      <c r="AG197" s="64"/>
      <c r="AH197" s="64"/>
      <c r="AI197" s="75"/>
    </row>
    <row r="198" spans="1:35">
      <c r="A198" s="65" t="s">
        <v>185</v>
      </c>
      <c r="B198" s="66" t="s">
        <v>186</v>
      </c>
      <c r="C198" s="79">
        <v>14</v>
      </c>
      <c r="D198" s="68" t="s">
        <v>26</v>
      </c>
      <c r="E198" s="69"/>
      <c r="F198" s="70" t="str">
        <f t="shared" si="5"/>
        <v>custom specs 14 Min</v>
      </c>
      <c r="G198" s="90"/>
      <c r="H198" s="90"/>
      <c r="I198" s="87"/>
      <c r="J198" s="71"/>
      <c r="K198" s="71"/>
      <c r="L198" s="71"/>
      <c r="M198" s="71"/>
      <c r="N198" s="71"/>
      <c r="O198" s="71"/>
      <c r="P198" s="71"/>
      <c r="Q198" s="71"/>
      <c r="R198" s="71"/>
      <c r="S198" s="71"/>
      <c r="T198" s="71"/>
      <c r="U198" s="342"/>
      <c r="V198" s="71"/>
      <c r="W198" s="71"/>
      <c r="X198" s="71"/>
      <c r="Y198" s="71"/>
      <c r="Z198" s="71"/>
      <c r="AA198" s="71"/>
      <c r="AB198" s="71"/>
      <c r="AC198" s="71"/>
      <c r="AD198" s="71"/>
      <c r="AE198" s="71"/>
      <c r="AF198" s="71"/>
      <c r="AG198" s="71"/>
      <c r="AH198" s="71"/>
      <c r="AI198" s="76"/>
    </row>
    <row r="199" spans="1:35">
      <c r="A199" s="59" t="s">
        <v>185</v>
      </c>
      <c r="B199" s="60" t="s">
        <v>186</v>
      </c>
      <c r="C199" s="78">
        <v>15</v>
      </c>
      <c r="D199" s="62" t="s">
        <v>27</v>
      </c>
      <c r="E199" s="63" t="str">
        <f>A199&amp;" "&amp;B199&amp;" "&amp;C199</f>
        <v>custom specs 15</v>
      </c>
      <c r="F199" s="63" t="str">
        <f t="shared" si="5"/>
        <v>custom specs 15 Max</v>
      </c>
      <c r="G199" s="89"/>
      <c r="H199" s="89"/>
      <c r="I199" s="86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341"/>
      <c r="V199" s="64"/>
      <c r="W199" s="64"/>
      <c r="X199" s="64"/>
      <c r="Y199" s="64"/>
      <c r="Z199" s="64"/>
      <c r="AA199" s="64"/>
      <c r="AB199" s="64"/>
      <c r="AC199" s="64"/>
      <c r="AD199" s="64"/>
      <c r="AE199" s="64"/>
      <c r="AF199" s="64"/>
      <c r="AG199" s="64"/>
      <c r="AH199" s="64"/>
      <c r="AI199" s="75"/>
    </row>
    <row r="200" spans="1:35">
      <c r="A200" s="65" t="s">
        <v>185</v>
      </c>
      <c r="B200" s="66" t="s">
        <v>186</v>
      </c>
      <c r="C200" s="79">
        <v>15</v>
      </c>
      <c r="D200" s="68" t="s">
        <v>26</v>
      </c>
      <c r="E200" s="69"/>
      <c r="F200" s="70" t="str">
        <f t="shared" si="5"/>
        <v>custom specs 15 Min</v>
      </c>
      <c r="G200" s="90"/>
      <c r="H200" s="90"/>
      <c r="I200" s="87"/>
      <c r="J200" s="71"/>
      <c r="K200" s="71"/>
      <c r="L200" s="71"/>
      <c r="M200" s="71"/>
      <c r="N200" s="71"/>
      <c r="O200" s="71"/>
      <c r="P200" s="71"/>
      <c r="Q200" s="71"/>
      <c r="R200" s="71"/>
      <c r="S200" s="71"/>
      <c r="T200" s="71"/>
      <c r="U200" s="342"/>
      <c r="V200" s="71"/>
      <c r="W200" s="71"/>
      <c r="X200" s="71"/>
      <c r="Y200" s="71"/>
      <c r="Z200" s="71"/>
      <c r="AA200" s="71"/>
      <c r="AB200" s="71"/>
      <c r="AC200" s="71"/>
      <c r="AD200" s="71"/>
      <c r="AE200" s="71"/>
      <c r="AF200" s="71"/>
      <c r="AG200" s="71"/>
      <c r="AH200" s="71"/>
      <c r="AI200" s="76"/>
    </row>
    <row r="201" spans="1:35">
      <c r="A201" s="59" t="s">
        <v>185</v>
      </c>
      <c r="B201" s="60" t="s">
        <v>186</v>
      </c>
      <c r="C201" s="78">
        <v>16</v>
      </c>
      <c r="D201" s="62" t="s">
        <v>27</v>
      </c>
      <c r="E201" s="63" t="str">
        <f>A201&amp;" "&amp;B201&amp;" "&amp;C201</f>
        <v>custom specs 16</v>
      </c>
      <c r="F201" s="63" t="str">
        <f t="shared" si="5"/>
        <v>custom specs 16 Max</v>
      </c>
      <c r="G201" s="89"/>
      <c r="H201" s="89"/>
      <c r="I201" s="86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341"/>
      <c r="V201" s="64"/>
      <c r="W201" s="64"/>
      <c r="X201" s="64"/>
      <c r="Y201" s="64"/>
      <c r="Z201" s="64"/>
      <c r="AA201" s="64"/>
      <c r="AB201" s="64"/>
      <c r="AC201" s="64"/>
      <c r="AD201" s="64"/>
      <c r="AE201" s="64"/>
      <c r="AF201" s="64"/>
      <c r="AG201" s="64"/>
      <c r="AH201" s="64"/>
      <c r="AI201" s="75"/>
    </row>
    <row r="202" spans="1:35">
      <c r="A202" s="65" t="s">
        <v>185</v>
      </c>
      <c r="B202" s="66" t="s">
        <v>186</v>
      </c>
      <c r="C202" s="79">
        <v>16</v>
      </c>
      <c r="D202" s="68" t="s">
        <v>26</v>
      </c>
      <c r="E202" s="69"/>
      <c r="F202" s="70" t="str">
        <f t="shared" si="5"/>
        <v>custom specs 16 Min</v>
      </c>
      <c r="G202" s="90"/>
      <c r="H202" s="90"/>
      <c r="I202" s="87"/>
      <c r="J202" s="71"/>
      <c r="K202" s="71"/>
      <c r="L202" s="71"/>
      <c r="M202" s="71"/>
      <c r="N202" s="71"/>
      <c r="O202" s="71"/>
      <c r="P202" s="71"/>
      <c r="Q202" s="71"/>
      <c r="R202" s="71"/>
      <c r="S202" s="71"/>
      <c r="T202" s="71"/>
      <c r="U202" s="342"/>
      <c r="V202" s="71"/>
      <c r="W202" s="71"/>
      <c r="X202" s="71"/>
      <c r="Y202" s="71"/>
      <c r="Z202" s="71"/>
      <c r="AA202" s="71"/>
      <c r="AB202" s="71"/>
      <c r="AC202" s="71"/>
      <c r="AD202" s="71"/>
      <c r="AE202" s="71"/>
      <c r="AF202" s="71"/>
      <c r="AG202" s="71"/>
      <c r="AH202" s="71"/>
      <c r="AI202" s="76"/>
    </row>
    <row r="203" spans="1:35">
      <c r="A203" s="59" t="s">
        <v>185</v>
      </c>
      <c r="B203" s="60" t="s">
        <v>186</v>
      </c>
      <c r="C203" s="78">
        <v>17</v>
      </c>
      <c r="D203" s="62" t="s">
        <v>27</v>
      </c>
      <c r="E203" s="63" t="str">
        <f>A203&amp;" "&amp;B203&amp;" "&amp;C203</f>
        <v>custom specs 17</v>
      </c>
      <c r="F203" s="63" t="str">
        <f t="shared" si="5"/>
        <v>custom specs 17 Max</v>
      </c>
      <c r="G203" s="89"/>
      <c r="H203" s="89"/>
      <c r="I203" s="86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341"/>
      <c r="V203" s="64"/>
      <c r="W203" s="64"/>
      <c r="X203" s="64"/>
      <c r="Y203" s="64"/>
      <c r="Z203" s="64"/>
      <c r="AA203" s="64"/>
      <c r="AB203" s="64"/>
      <c r="AC203" s="64"/>
      <c r="AD203" s="64"/>
      <c r="AE203" s="64"/>
      <c r="AF203" s="64"/>
      <c r="AG203" s="64"/>
      <c r="AH203" s="64"/>
      <c r="AI203" s="75"/>
    </row>
    <row r="204" spans="1:35">
      <c r="A204" s="65" t="s">
        <v>185</v>
      </c>
      <c r="B204" s="66" t="s">
        <v>186</v>
      </c>
      <c r="C204" s="79">
        <v>17</v>
      </c>
      <c r="D204" s="68" t="s">
        <v>26</v>
      </c>
      <c r="E204" s="69"/>
      <c r="F204" s="70" t="str">
        <f t="shared" si="5"/>
        <v>custom specs 17 Min</v>
      </c>
      <c r="G204" s="90"/>
      <c r="H204" s="90"/>
      <c r="I204" s="87"/>
      <c r="J204" s="71"/>
      <c r="K204" s="71"/>
      <c r="L204" s="71"/>
      <c r="M204" s="71"/>
      <c r="N204" s="71"/>
      <c r="O204" s="71"/>
      <c r="P204" s="71"/>
      <c r="Q204" s="71"/>
      <c r="R204" s="71"/>
      <c r="S204" s="71"/>
      <c r="T204" s="71"/>
      <c r="U204" s="342"/>
      <c r="V204" s="71"/>
      <c r="W204" s="71"/>
      <c r="X204" s="71"/>
      <c r="Y204" s="71"/>
      <c r="Z204" s="71"/>
      <c r="AA204" s="71"/>
      <c r="AB204" s="71"/>
      <c r="AC204" s="71"/>
      <c r="AD204" s="71"/>
      <c r="AE204" s="71"/>
      <c r="AF204" s="71"/>
      <c r="AG204" s="71"/>
      <c r="AH204" s="71"/>
      <c r="AI204" s="76"/>
    </row>
    <row r="205" spans="1:35">
      <c r="A205" s="59" t="s">
        <v>185</v>
      </c>
      <c r="B205" s="60" t="s">
        <v>186</v>
      </c>
      <c r="C205" s="78">
        <v>18</v>
      </c>
      <c r="D205" s="62" t="s">
        <v>27</v>
      </c>
      <c r="E205" s="63" t="str">
        <f>A205&amp;" "&amp;B205&amp;" "&amp;C205</f>
        <v>custom specs 18</v>
      </c>
      <c r="F205" s="63" t="str">
        <f t="shared" si="5"/>
        <v>custom specs 18 Max</v>
      </c>
      <c r="G205" s="89"/>
      <c r="H205" s="89"/>
      <c r="I205" s="86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341"/>
      <c r="V205" s="64"/>
      <c r="W205" s="64"/>
      <c r="X205" s="64"/>
      <c r="Y205" s="64"/>
      <c r="Z205" s="64"/>
      <c r="AA205" s="64"/>
      <c r="AB205" s="64"/>
      <c r="AC205" s="64"/>
      <c r="AD205" s="64"/>
      <c r="AE205" s="64"/>
      <c r="AF205" s="64"/>
      <c r="AG205" s="64"/>
      <c r="AH205" s="64"/>
      <c r="AI205" s="75"/>
    </row>
    <row r="206" spans="1:35">
      <c r="A206" s="65" t="s">
        <v>185</v>
      </c>
      <c r="B206" s="66" t="s">
        <v>186</v>
      </c>
      <c r="C206" s="79">
        <v>18</v>
      </c>
      <c r="D206" s="68" t="s">
        <v>26</v>
      </c>
      <c r="E206" s="69"/>
      <c r="F206" s="70" t="str">
        <f t="shared" si="5"/>
        <v>custom specs 18 Min</v>
      </c>
      <c r="G206" s="90"/>
      <c r="H206" s="90"/>
      <c r="I206" s="87"/>
      <c r="J206" s="71"/>
      <c r="K206" s="71"/>
      <c r="L206" s="71"/>
      <c r="M206" s="71"/>
      <c r="N206" s="71"/>
      <c r="O206" s="71"/>
      <c r="P206" s="71"/>
      <c r="Q206" s="71"/>
      <c r="R206" s="71"/>
      <c r="S206" s="71"/>
      <c r="T206" s="71"/>
      <c r="U206" s="342"/>
      <c r="V206" s="71"/>
      <c r="W206" s="71"/>
      <c r="X206" s="71"/>
      <c r="Y206" s="71"/>
      <c r="Z206" s="71"/>
      <c r="AA206" s="71"/>
      <c r="AB206" s="71"/>
      <c r="AC206" s="71"/>
      <c r="AD206" s="71"/>
      <c r="AE206" s="71"/>
      <c r="AF206" s="71"/>
      <c r="AG206" s="71"/>
      <c r="AH206" s="71"/>
      <c r="AI206" s="76"/>
    </row>
    <row r="207" spans="1:35">
      <c r="A207" s="59" t="s">
        <v>185</v>
      </c>
      <c r="B207" s="60" t="s">
        <v>186</v>
      </c>
      <c r="C207" s="78">
        <v>19</v>
      </c>
      <c r="D207" s="62" t="s">
        <v>27</v>
      </c>
      <c r="E207" s="63" t="str">
        <f>A207&amp;" "&amp;B207&amp;" "&amp;C207</f>
        <v>custom specs 19</v>
      </c>
      <c r="F207" s="63" t="str">
        <f t="shared" si="5"/>
        <v>custom specs 19 Max</v>
      </c>
      <c r="G207" s="89"/>
      <c r="H207" s="89"/>
      <c r="I207" s="86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341"/>
      <c r="V207" s="64"/>
      <c r="W207" s="64"/>
      <c r="X207" s="64"/>
      <c r="Y207" s="64"/>
      <c r="Z207" s="64"/>
      <c r="AA207" s="64"/>
      <c r="AB207" s="64"/>
      <c r="AC207" s="64"/>
      <c r="AD207" s="64"/>
      <c r="AE207" s="64"/>
      <c r="AF207" s="64"/>
      <c r="AG207" s="64"/>
      <c r="AH207" s="64"/>
      <c r="AI207" s="75"/>
    </row>
    <row r="208" spans="1:35">
      <c r="A208" s="65" t="s">
        <v>185</v>
      </c>
      <c r="B208" s="66" t="s">
        <v>186</v>
      </c>
      <c r="C208" s="79">
        <v>19</v>
      </c>
      <c r="D208" s="68" t="s">
        <v>26</v>
      </c>
      <c r="E208" s="69"/>
      <c r="F208" s="70" t="str">
        <f t="shared" si="5"/>
        <v>custom specs 19 Min</v>
      </c>
      <c r="G208" s="90"/>
      <c r="H208" s="90"/>
      <c r="I208" s="87"/>
      <c r="J208" s="71"/>
      <c r="K208" s="71"/>
      <c r="L208" s="71"/>
      <c r="M208" s="71"/>
      <c r="N208" s="71"/>
      <c r="O208" s="71"/>
      <c r="P208" s="71"/>
      <c r="Q208" s="71"/>
      <c r="R208" s="71"/>
      <c r="S208" s="71"/>
      <c r="T208" s="71"/>
      <c r="U208" s="342"/>
      <c r="V208" s="71"/>
      <c r="W208" s="71"/>
      <c r="X208" s="71"/>
      <c r="Y208" s="71"/>
      <c r="Z208" s="71"/>
      <c r="AA208" s="71"/>
      <c r="AB208" s="71"/>
      <c r="AC208" s="71"/>
      <c r="AD208" s="71"/>
      <c r="AE208" s="71"/>
      <c r="AF208" s="71"/>
      <c r="AG208" s="71"/>
      <c r="AH208" s="71"/>
      <c r="AI208" s="76"/>
    </row>
    <row r="209" spans="1:35">
      <c r="A209" s="59" t="s">
        <v>185</v>
      </c>
      <c r="B209" s="60" t="s">
        <v>186</v>
      </c>
      <c r="C209" s="78">
        <v>20</v>
      </c>
      <c r="D209" s="62" t="s">
        <v>27</v>
      </c>
      <c r="E209" s="63" t="str">
        <f>A209&amp;" "&amp;B209&amp;" "&amp;C209</f>
        <v>custom specs 20</v>
      </c>
      <c r="F209" s="63" t="str">
        <f t="shared" si="5"/>
        <v>custom specs 20 Max</v>
      </c>
      <c r="G209" s="89"/>
      <c r="H209" s="89"/>
      <c r="I209" s="86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341"/>
      <c r="V209" s="64"/>
      <c r="W209" s="64"/>
      <c r="X209" s="64"/>
      <c r="Y209" s="64"/>
      <c r="Z209" s="64"/>
      <c r="AA209" s="64"/>
      <c r="AB209" s="64"/>
      <c r="AC209" s="64"/>
      <c r="AD209" s="64"/>
      <c r="AE209" s="64"/>
      <c r="AF209" s="64"/>
      <c r="AG209" s="64"/>
      <c r="AH209" s="64"/>
      <c r="AI209" s="75"/>
    </row>
    <row r="210" spans="1:35">
      <c r="A210" s="65" t="s">
        <v>185</v>
      </c>
      <c r="B210" s="66" t="s">
        <v>186</v>
      </c>
      <c r="C210" s="79">
        <v>20</v>
      </c>
      <c r="D210" s="68" t="s">
        <v>26</v>
      </c>
      <c r="E210" s="69"/>
      <c r="F210" s="70" t="str">
        <f t="shared" si="5"/>
        <v>custom specs 20 Min</v>
      </c>
      <c r="G210" s="90"/>
      <c r="H210" s="90"/>
      <c r="I210" s="87"/>
      <c r="J210" s="71"/>
      <c r="K210" s="71"/>
      <c r="L210" s="71"/>
      <c r="M210" s="71"/>
      <c r="N210" s="71"/>
      <c r="O210" s="71"/>
      <c r="P210" s="71"/>
      <c r="Q210" s="71"/>
      <c r="R210" s="71"/>
      <c r="S210" s="71"/>
      <c r="T210" s="71"/>
      <c r="U210" s="342"/>
      <c r="V210" s="71"/>
      <c r="W210" s="71"/>
      <c r="X210" s="71"/>
      <c r="Y210" s="71"/>
      <c r="Z210" s="71"/>
      <c r="AA210" s="71"/>
      <c r="AB210" s="71"/>
      <c r="AC210" s="71"/>
      <c r="AD210" s="71"/>
      <c r="AE210" s="71"/>
      <c r="AF210" s="71"/>
      <c r="AG210" s="71"/>
      <c r="AH210" s="71"/>
      <c r="AI210" s="76"/>
    </row>
    <row r="211" spans="1:35">
      <c r="A211" s="59" t="s">
        <v>185</v>
      </c>
      <c r="B211" s="60" t="s">
        <v>186</v>
      </c>
      <c r="C211" s="78">
        <v>21</v>
      </c>
      <c r="D211" s="62" t="s">
        <v>27</v>
      </c>
      <c r="E211" s="63" t="str">
        <f>A211&amp;" "&amp;B211&amp;" "&amp;C211</f>
        <v>custom specs 21</v>
      </c>
      <c r="F211" s="63" t="str">
        <f t="shared" si="5"/>
        <v>custom specs 21 Max</v>
      </c>
      <c r="G211" s="89"/>
      <c r="H211" s="89"/>
      <c r="I211" s="86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341"/>
      <c r="V211" s="64"/>
      <c r="W211" s="64"/>
      <c r="X211" s="64"/>
      <c r="Y211" s="64"/>
      <c r="Z211" s="64"/>
      <c r="AA211" s="64"/>
      <c r="AB211" s="64"/>
      <c r="AC211" s="64"/>
      <c r="AD211" s="64"/>
      <c r="AE211" s="64"/>
      <c r="AF211" s="64"/>
      <c r="AG211" s="64"/>
      <c r="AH211" s="64"/>
      <c r="AI211" s="75"/>
    </row>
    <row r="212" spans="1:35">
      <c r="A212" s="65" t="s">
        <v>185</v>
      </c>
      <c r="B212" s="66" t="s">
        <v>186</v>
      </c>
      <c r="C212" s="79">
        <v>21</v>
      </c>
      <c r="D212" s="68" t="s">
        <v>26</v>
      </c>
      <c r="E212" s="69"/>
      <c r="F212" s="70" t="str">
        <f t="shared" si="5"/>
        <v>custom specs 21 Min</v>
      </c>
      <c r="G212" s="90"/>
      <c r="H212" s="90"/>
      <c r="I212" s="87"/>
      <c r="J212" s="71"/>
      <c r="K212" s="71"/>
      <c r="L212" s="71"/>
      <c r="M212" s="71"/>
      <c r="N212" s="71"/>
      <c r="O212" s="71"/>
      <c r="P212" s="71"/>
      <c r="Q212" s="71"/>
      <c r="R212" s="71"/>
      <c r="S212" s="71"/>
      <c r="T212" s="71"/>
      <c r="U212" s="342"/>
      <c r="V212" s="71"/>
      <c r="W212" s="71"/>
      <c r="X212" s="71"/>
      <c r="Y212" s="71"/>
      <c r="Z212" s="71"/>
      <c r="AA212" s="71"/>
      <c r="AB212" s="71"/>
      <c r="AC212" s="71"/>
      <c r="AD212" s="71"/>
      <c r="AE212" s="71"/>
      <c r="AF212" s="71"/>
      <c r="AG212" s="71"/>
      <c r="AH212" s="71"/>
      <c r="AI212" s="76"/>
    </row>
    <row r="213" spans="1:35">
      <c r="A213" s="59" t="s">
        <v>185</v>
      </c>
      <c r="B213" s="60" t="s">
        <v>186</v>
      </c>
      <c r="C213" s="78">
        <v>22</v>
      </c>
      <c r="D213" s="62" t="s">
        <v>27</v>
      </c>
      <c r="E213" s="63" t="str">
        <f>A213&amp;" "&amp;B213&amp;" "&amp;C213</f>
        <v>custom specs 22</v>
      </c>
      <c r="F213" s="63" t="str">
        <f t="shared" si="5"/>
        <v>custom specs 22 Max</v>
      </c>
      <c r="G213" s="89"/>
      <c r="H213" s="89"/>
      <c r="I213" s="86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341"/>
      <c r="V213" s="64"/>
      <c r="W213" s="64"/>
      <c r="X213" s="64"/>
      <c r="Y213" s="64"/>
      <c r="Z213" s="64"/>
      <c r="AA213" s="64"/>
      <c r="AB213" s="64"/>
      <c r="AC213" s="64"/>
      <c r="AD213" s="64"/>
      <c r="AE213" s="64"/>
      <c r="AF213" s="64"/>
      <c r="AG213" s="64"/>
      <c r="AH213" s="64"/>
      <c r="AI213" s="75"/>
    </row>
    <row r="214" spans="1:35">
      <c r="A214" s="65" t="s">
        <v>185</v>
      </c>
      <c r="B214" s="66" t="s">
        <v>186</v>
      </c>
      <c r="C214" s="79">
        <v>22</v>
      </c>
      <c r="D214" s="68" t="s">
        <v>26</v>
      </c>
      <c r="E214" s="69"/>
      <c r="F214" s="70" t="str">
        <f t="shared" si="5"/>
        <v>custom specs 22 Min</v>
      </c>
      <c r="G214" s="90"/>
      <c r="H214" s="90"/>
      <c r="I214" s="87"/>
      <c r="J214" s="71"/>
      <c r="K214" s="71"/>
      <c r="L214" s="71"/>
      <c r="M214" s="71"/>
      <c r="N214" s="71"/>
      <c r="O214" s="71"/>
      <c r="P214" s="71"/>
      <c r="Q214" s="71"/>
      <c r="R214" s="71"/>
      <c r="S214" s="71"/>
      <c r="T214" s="71"/>
      <c r="U214" s="342"/>
      <c r="V214" s="71"/>
      <c r="W214" s="71"/>
      <c r="X214" s="71"/>
      <c r="Y214" s="71"/>
      <c r="Z214" s="71"/>
      <c r="AA214" s="71"/>
      <c r="AB214" s="71"/>
      <c r="AC214" s="71"/>
      <c r="AD214" s="71"/>
      <c r="AE214" s="71"/>
      <c r="AF214" s="71"/>
      <c r="AG214" s="71"/>
      <c r="AH214" s="71"/>
      <c r="AI214" s="76"/>
    </row>
    <row r="215" spans="1:35">
      <c r="A215" s="59" t="s">
        <v>185</v>
      </c>
      <c r="B215" s="60" t="s">
        <v>186</v>
      </c>
      <c r="C215" s="78">
        <v>23</v>
      </c>
      <c r="D215" s="62" t="s">
        <v>27</v>
      </c>
      <c r="E215" s="63" t="str">
        <f>A215&amp;" "&amp;B215&amp;" "&amp;C215</f>
        <v>custom specs 23</v>
      </c>
      <c r="F215" s="63" t="str">
        <f t="shared" si="5"/>
        <v>custom specs 23 Max</v>
      </c>
      <c r="G215" s="89"/>
      <c r="H215" s="89"/>
      <c r="I215" s="86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341"/>
      <c r="V215" s="64"/>
      <c r="W215" s="64"/>
      <c r="X215" s="64"/>
      <c r="Y215" s="64"/>
      <c r="Z215" s="64"/>
      <c r="AA215" s="64"/>
      <c r="AB215" s="64"/>
      <c r="AC215" s="64"/>
      <c r="AD215" s="64"/>
      <c r="AE215" s="64"/>
      <c r="AF215" s="64"/>
      <c r="AG215" s="64"/>
      <c r="AH215" s="64"/>
      <c r="AI215" s="75"/>
    </row>
    <row r="216" spans="1:35">
      <c r="A216" s="65" t="s">
        <v>185</v>
      </c>
      <c r="B216" s="66" t="s">
        <v>186</v>
      </c>
      <c r="C216" s="79">
        <v>23</v>
      </c>
      <c r="D216" s="68" t="s">
        <v>26</v>
      </c>
      <c r="E216" s="69"/>
      <c r="F216" s="70" t="str">
        <f t="shared" si="5"/>
        <v>custom specs 23 Min</v>
      </c>
      <c r="G216" s="90"/>
      <c r="H216" s="90"/>
      <c r="I216" s="87"/>
      <c r="J216" s="71"/>
      <c r="K216" s="71"/>
      <c r="L216" s="71"/>
      <c r="M216" s="71"/>
      <c r="N216" s="71"/>
      <c r="O216" s="71"/>
      <c r="P216" s="71"/>
      <c r="Q216" s="71"/>
      <c r="R216" s="71"/>
      <c r="S216" s="71"/>
      <c r="T216" s="71"/>
      <c r="U216" s="342"/>
      <c r="V216" s="71"/>
      <c r="W216" s="71"/>
      <c r="X216" s="71"/>
      <c r="Y216" s="71"/>
      <c r="Z216" s="71"/>
      <c r="AA216" s="71"/>
      <c r="AB216" s="71"/>
      <c r="AC216" s="71"/>
      <c r="AD216" s="71"/>
      <c r="AE216" s="71"/>
      <c r="AF216" s="71"/>
      <c r="AG216" s="71"/>
      <c r="AH216" s="71"/>
      <c r="AI216" s="76"/>
    </row>
    <row r="217" spans="1:35">
      <c r="A217" s="59" t="s">
        <v>185</v>
      </c>
      <c r="B217" s="60" t="s">
        <v>186</v>
      </c>
      <c r="C217" s="78">
        <v>24</v>
      </c>
      <c r="D217" s="62" t="s">
        <v>27</v>
      </c>
      <c r="E217" s="63" t="str">
        <f>A217&amp;" "&amp;B217&amp;" "&amp;C217</f>
        <v>custom specs 24</v>
      </c>
      <c r="F217" s="63" t="str">
        <f t="shared" si="5"/>
        <v>custom specs 24 Max</v>
      </c>
      <c r="G217" s="89"/>
      <c r="H217" s="89"/>
      <c r="I217" s="86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341"/>
      <c r="V217" s="64"/>
      <c r="W217" s="64"/>
      <c r="X217" s="64"/>
      <c r="Y217" s="64"/>
      <c r="Z217" s="64"/>
      <c r="AA217" s="64"/>
      <c r="AB217" s="64"/>
      <c r="AC217" s="64"/>
      <c r="AD217" s="64"/>
      <c r="AE217" s="64"/>
      <c r="AF217" s="64"/>
      <c r="AG217" s="64"/>
      <c r="AH217" s="64"/>
      <c r="AI217" s="75"/>
    </row>
    <row r="218" spans="1:35">
      <c r="A218" s="65" t="s">
        <v>185</v>
      </c>
      <c r="B218" s="66" t="s">
        <v>186</v>
      </c>
      <c r="C218" s="79">
        <v>24</v>
      </c>
      <c r="D218" s="68" t="s">
        <v>26</v>
      </c>
      <c r="E218" s="69"/>
      <c r="F218" s="70" t="str">
        <f t="shared" si="5"/>
        <v>custom specs 24 Min</v>
      </c>
      <c r="G218" s="90"/>
      <c r="H218" s="90"/>
      <c r="I218" s="87"/>
      <c r="J218" s="71"/>
      <c r="K218" s="71"/>
      <c r="L218" s="71"/>
      <c r="M218" s="71"/>
      <c r="N218" s="71"/>
      <c r="O218" s="71"/>
      <c r="P218" s="71"/>
      <c r="Q218" s="71"/>
      <c r="R218" s="71"/>
      <c r="S218" s="71"/>
      <c r="T218" s="71"/>
      <c r="U218" s="342"/>
      <c r="V218" s="71"/>
      <c r="W218" s="71"/>
      <c r="X218" s="71"/>
      <c r="Y218" s="71"/>
      <c r="Z218" s="71"/>
      <c r="AA218" s="71"/>
      <c r="AB218" s="71"/>
      <c r="AC218" s="71"/>
      <c r="AD218" s="71"/>
      <c r="AE218" s="71"/>
      <c r="AF218" s="71"/>
      <c r="AG218" s="71"/>
      <c r="AH218" s="71"/>
      <c r="AI218" s="76"/>
    </row>
    <row r="219" spans="1:35">
      <c r="A219" s="59" t="s">
        <v>185</v>
      </c>
      <c r="B219" s="60" t="s">
        <v>186</v>
      </c>
      <c r="C219" s="78">
        <v>25</v>
      </c>
      <c r="D219" s="62" t="s">
        <v>27</v>
      </c>
      <c r="E219" s="63" t="str">
        <f>A219&amp;" "&amp;B219&amp;" "&amp;C219</f>
        <v>custom specs 25</v>
      </c>
      <c r="F219" s="63" t="str">
        <f t="shared" si="5"/>
        <v>custom specs 25 Max</v>
      </c>
      <c r="G219" s="89"/>
      <c r="H219" s="89"/>
      <c r="I219" s="86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341"/>
      <c r="V219" s="64"/>
      <c r="W219" s="64"/>
      <c r="X219" s="64"/>
      <c r="Y219" s="64"/>
      <c r="Z219" s="64"/>
      <c r="AA219" s="64"/>
      <c r="AB219" s="64"/>
      <c r="AC219" s="64"/>
      <c r="AD219" s="64"/>
      <c r="AE219" s="64"/>
      <c r="AF219" s="64"/>
      <c r="AG219" s="64"/>
      <c r="AH219" s="64"/>
      <c r="AI219" s="75"/>
    </row>
    <row r="220" spans="1:35">
      <c r="A220" s="65" t="s">
        <v>185</v>
      </c>
      <c r="B220" s="66" t="s">
        <v>186</v>
      </c>
      <c r="C220" s="79">
        <v>25</v>
      </c>
      <c r="D220" s="68" t="s">
        <v>26</v>
      </c>
      <c r="E220" s="69"/>
      <c r="F220" s="70" t="str">
        <f t="shared" si="5"/>
        <v>custom specs 25 Min</v>
      </c>
      <c r="G220" s="90"/>
      <c r="H220" s="90"/>
      <c r="I220" s="87"/>
      <c r="J220" s="71"/>
      <c r="K220" s="71"/>
      <c r="L220" s="71"/>
      <c r="M220" s="71"/>
      <c r="N220" s="71"/>
      <c r="O220" s="71"/>
      <c r="P220" s="71"/>
      <c r="Q220" s="71"/>
      <c r="R220" s="71"/>
      <c r="S220" s="71"/>
      <c r="T220" s="71"/>
      <c r="U220" s="342"/>
      <c r="V220" s="71"/>
      <c r="W220" s="71"/>
      <c r="X220" s="71"/>
      <c r="Y220" s="71"/>
      <c r="Z220" s="71"/>
      <c r="AA220" s="71"/>
      <c r="AB220" s="71"/>
      <c r="AC220" s="71"/>
      <c r="AD220" s="71"/>
      <c r="AE220" s="71"/>
      <c r="AF220" s="71"/>
      <c r="AG220" s="71"/>
      <c r="AH220" s="71"/>
      <c r="AI220" s="76"/>
    </row>
    <row r="221" spans="1:35">
      <c r="A221" s="59" t="s">
        <v>185</v>
      </c>
      <c r="B221" s="60" t="s">
        <v>186</v>
      </c>
      <c r="C221" s="78">
        <v>26</v>
      </c>
      <c r="D221" s="62" t="s">
        <v>27</v>
      </c>
      <c r="E221" s="63" t="str">
        <f>A221&amp;" "&amp;B221&amp;" "&amp;C221</f>
        <v>custom specs 26</v>
      </c>
      <c r="F221" s="63" t="str">
        <f t="shared" si="5"/>
        <v>custom specs 26 Max</v>
      </c>
      <c r="G221" s="89"/>
      <c r="H221" s="89"/>
      <c r="I221" s="86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341"/>
      <c r="V221" s="64"/>
      <c r="W221" s="64"/>
      <c r="X221" s="64"/>
      <c r="Y221" s="64"/>
      <c r="Z221" s="64"/>
      <c r="AA221" s="64"/>
      <c r="AB221" s="64"/>
      <c r="AC221" s="64"/>
      <c r="AD221" s="64"/>
      <c r="AE221" s="64"/>
      <c r="AF221" s="64"/>
      <c r="AG221" s="64"/>
      <c r="AH221" s="64"/>
      <c r="AI221" s="75"/>
    </row>
    <row r="222" spans="1:35">
      <c r="A222" s="65" t="s">
        <v>185</v>
      </c>
      <c r="B222" s="66" t="s">
        <v>186</v>
      </c>
      <c r="C222" s="79">
        <v>26</v>
      </c>
      <c r="D222" s="68" t="s">
        <v>26</v>
      </c>
      <c r="E222" s="69"/>
      <c r="F222" s="70" t="str">
        <f t="shared" si="5"/>
        <v>custom specs 26 Min</v>
      </c>
      <c r="G222" s="90"/>
      <c r="H222" s="90"/>
      <c r="I222" s="87"/>
      <c r="J222" s="71"/>
      <c r="K222" s="71"/>
      <c r="L222" s="71"/>
      <c r="M222" s="71"/>
      <c r="N222" s="71"/>
      <c r="O222" s="71"/>
      <c r="P222" s="71"/>
      <c r="Q222" s="71"/>
      <c r="R222" s="71"/>
      <c r="S222" s="71"/>
      <c r="T222" s="71"/>
      <c r="U222" s="342"/>
      <c r="V222" s="71"/>
      <c r="W222" s="71"/>
      <c r="X222" s="71"/>
      <c r="Y222" s="71"/>
      <c r="Z222" s="71"/>
      <c r="AA222" s="71"/>
      <c r="AB222" s="71"/>
      <c r="AC222" s="71"/>
      <c r="AD222" s="71"/>
      <c r="AE222" s="71"/>
      <c r="AF222" s="71"/>
      <c r="AG222" s="71"/>
      <c r="AH222" s="71"/>
      <c r="AI222" s="76"/>
    </row>
    <row r="223" spans="1:35">
      <c r="A223" s="59" t="s">
        <v>185</v>
      </c>
      <c r="B223" s="60" t="s">
        <v>186</v>
      </c>
      <c r="C223" s="78">
        <v>27</v>
      </c>
      <c r="D223" s="62" t="s">
        <v>27</v>
      </c>
      <c r="E223" s="63" t="str">
        <f>A223&amp;" "&amp;B223&amp;" "&amp;C223</f>
        <v>custom specs 27</v>
      </c>
      <c r="F223" s="63" t="str">
        <f t="shared" si="5"/>
        <v>custom specs 27 Max</v>
      </c>
      <c r="G223" s="89"/>
      <c r="H223" s="89"/>
      <c r="I223" s="86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341"/>
      <c r="V223" s="64"/>
      <c r="W223" s="64"/>
      <c r="X223" s="64"/>
      <c r="Y223" s="64"/>
      <c r="Z223" s="64"/>
      <c r="AA223" s="64"/>
      <c r="AB223" s="64"/>
      <c r="AC223" s="64"/>
      <c r="AD223" s="64"/>
      <c r="AE223" s="64"/>
      <c r="AF223" s="64"/>
      <c r="AG223" s="64"/>
      <c r="AH223" s="64"/>
      <c r="AI223" s="75"/>
    </row>
    <row r="224" spans="1:35">
      <c r="A224" s="65" t="s">
        <v>185</v>
      </c>
      <c r="B224" s="66" t="s">
        <v>186</v>
      </c>
      <c r="C224" s="79">
        <v>27</v>
      </c>
      <c r="D224" s="68" t="s">
        <v>26</v>
      </c>
      <c r="E224" s="69"/>
      <c r="F224" s="70" t="str">
        <f t="shared" si="5"/>
        <v>custom specs 27 Min</v>
      </c>
      <c r="G224" s="90"/>
      <c r="H224" s="90"/>
      <c r="I224" s="87"/>
      <c r="J224" s="71"/>
      <c r="K224" s="71"/>
      <c r="L224" s="71"/>
      <c r="M224" s="71"/>
      <c r="N224" s="71"/>
      <c r="O224" s="71"/>
      <c r="P224" s="71"/>
      <c r="Q224" s="71"/>
      <c r="R224" s="71"/>
      <c r="S224" s="71"/>
      <c r="T224" s="71"/>
      <c r="U224" s="342"/>
      <c r="V224" s="71"/>
      <c r="W224" s="71"/>
      <c r="X224" s="71"/>
      <c r="Y224" s="71"/>
      <c r="Z224" s="71"/>
      <c r="AA224" s="71"/>
      <c r="AB224" s="71"/>
      <c r="AC224" s="71"/>
      <c r="AD224" s="71"/>
      <c r="AE224" s="71"/>
      <c r="AF224" s="71"/>
      <c r="AG224" s="71"/>
      <c r="AH224" s="71"/>
      <c r="AI224" s="76"/>
    </row>
    <row r="225" spans="1:35">
      <c r="A225" s="59" t="s">
        <v>185</v>
      </c>
      <c r="B225" s="60" t="s">
        <v>186</v>
      </c>
      <c r="C225" s="78">
        <v>28</v>
      </c>
      <c r="D225" s="62" t="s">
        <v>27</v>
      </c>
      <c r="E225" s="63" t="str">
        <f>A225&amp;" "&amp;B225&amp;" "&amp;C225</f>
        <v>custom specs 28</v>
      </c>
      <c r="F225" s="63" t="str">
        <f t="shared" si="5"/>
        <v>custom specs 28 Max</v>
      </c>
      <c r="G225" s="89"/>
      <c r="H225" s="89"/>
      <c r="I225" s="86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341"/>
      <c r="V225" s="64"/>
      <c r="W225" s="64"/>
      <c r="X225" s="64"/>
      <c r="Y225" s="64"/>
      <c r="Z225" s="64"/>
      <c r="AA225" s="64"/>
      <c r="AB225" s="64"/>
      <c r="AC225" s="64"/>
      <c r="AD225" s="64"/>
      <c r="AE225" s="64"/>
      <c r="AF225" s="64"/>
      <c r="AG225" s="64"/>
      <c r="AH225" s="64"/>
      <c r="AI225" s="75"/>
    </row>
    <row r="226" spans="1:35">
      <c r="A226" s="65" t="s">
        <v>185</v>
      </c>
      <c r="B226" s="66" t="s">
        <v>186</v>
      </c>
      <c r="C226" s="79">
        <v>28</v>
      </c>
      <c r="D226" s="68" t="s">
        <v>26</v>
      </c>
      <c r="E226" s="69"/>
      <c r="F226" s="70" t="str">
        <f t="shared" si="5"/>
        <v>custom specs 28 Min</v>
      </c>
      <c r="G226" s="90"/>
      <c r="H226" s="90"/>
      <c r="I226" s="87"/>
      <c r="J226" s="71"/>
      <c r="K226" s="71"/>
      <c r="L226" s="71"/>
      <c r="M226" s="71"/>
      <c r="N226" s="71"/>
      <c r="O226" s="71"/>
      <c r="P226" s="71"/>
      <c r="Q226" s="71"/>
      <c r="R226" s="71"/>
      <c r="S226" s="71"/>
      <c r="T226" s="71"/>
      <c r="U226" s="342"/>
      <c r="V226" s="71"/>
      <c r="W226" s="71"/>
      <c r="X226" s="71"/>
      <c r="Y226" s="71"/>
      <c r="Z226" s="71"/>
      <c r="AA226" s="71"/>
      <c r="AB226" s="71"/>
      <c r="AC226" s="71"/>
      <c r="AD226" s="71"/>
      <c r="AE226" s="71"/>
      <c r="AF226" s="71"/>
      <c r="AG226" s="71"/>
      <c r="AH226" s="71"/>
      <c r="AI226" s="76"/>
    </row>
    <row r="227" spans="1:35">
      <c r="A227" s="59" t="s">
        <v>185</v>
      </c>
      <c r="B227" s="60" t="s">
        <v>186</v>
      </c>
      <c r="C227" s="78">
        <v>29</v>
      </c>
      <c r="D227" s="62" t="s">
        <v>27</v>
      </c>
      <c r="E227" s="63" t="str">
        <f>A227&amp;" "&amp;B227&amp;" "&amp;C227</f>
        <v>custom specs 29</v>
      </c>
      <c r="F227" s="63" t="str">
        <f t="shared" si="5"/>
        <v>custom specs 29 Max</v>
      </c>
      <c r="G227" s="89"/>
      <c r="H227" s="89"/>
      <c r="I227" s="86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341"/>
      <c r="V227" s="64"/>
      <c r="W227" s="64"/>
      <c r="X227" s="64"/>
      <c r="Y227" s="64"/>
      <c r="Z227" s="64"/>
      <c r="AA227" s="64"/>
      <c r="AB227" s="64"/>
      <c r="AC227" s="64"/>
      <c r="AD227" s="64"/>
      <c r="AE227" s="64"/>
      <c r="AF227" s="64"/>
      <c r="AG227" s="64"/>
      <c r="AH227" s="64"/>
      <c r="AI227" s="75"/>
    </row>
    <row r="228" spans="1:35">
      <c r="A228" s="65" t="s">
        <v>185</v>
      </c>
      <c r="B228" s="66" t="s">
        <v>186</v>
      </c>
      <c r="C228" s="79">
        <v>29</v>
      </c>
      <c r="D228" s="68" t="s">
        <v>26</v>
      </c>
      <c r="E228" s="69"/>
      <c r="F228" s="70" t="str">
        <f t="shared" si="5"/>
        <v>custom specs 29 Min</v>
      </c>
      <c r="G228" s="90"/>
      <c r="H228" s="90"/>
      <c r="I228" s="87"/>
      <c r="J228" s="71"/>
      <c r="K228" s="71"/>
      <c r="L228" s="71"/>
      <c r="M228" s="71"/>
      <c r="N228" s="71"/>
      <c r="O228" s="71"/>
      <c r="P228" s="71"/>
      <c r="Q228" s="71"/>
      <c r="R228" s="71"/>
      <c r="S228" s="71"/>
      <c r="T228" s="71"/>
      <c r="U228" s="342"/>
      <c r="V228" s="71"/>
      <c r="W228" s="71"/>
      <c r="X228" s="71"/>
      <c r="Y228" s="71"/>
      <c r="Z228" s="71"/>
      <c r="AA228" s="71"/>
      <c r="AB228" s="71"/>
      <c r="AC228" s="71"/>
      <c r="AD228" s="71"/>
      <c r="AE228" s="71"/>
      <c r="AF228" s="71"/>
      <c r="AG228" s="71"/>
      <c r="AH228" s="71"/>
      <c r="AI228" s="76"/>
    </row>
    <row r="229" spans="1:35">
      <c r="A229" s="59" t="s">
        <v>185</v>
      </c>
      <c r="B229" s="60" t="s">
        <v>186</v>
      </c>
      <c r="C229" s="78">
        <v>30</v>
      </c>
      <c r="D229" s="62" t="s">
        <v>27</v>
      </c>
      <c r="E229" s="63" t="str">
        <f>A229&amp;" "&amp;B229&amp;" "&amp;C229</f>
        <v>custom specs 30</v>
      </c>
      <c r="F229" s="63" t="str">
        <f t="shared" si="5"/>
        <v>custom specs 30 Max</v>
      </c>
      <c r="G229" s="89"/>
      <c r="H229" s="89"/>
      <c r="I229" s="86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341"/>
      <c r="V229" s="64"/>
      <c r="W229" s="64"/>
      <c r="X229" s="64"/>
      <c r="Y229" s="64"/>
      <c r="Z229" s="64"/>
      <c r="AA229" s="64"/>
      <c r="AB229" s="64"/>
      <c r="AC229" s="64"/>
      <c r="AD229" s="64"/>
      <c r="AE229" s="64"/>
      <c r="AF229" s="64"/>
      <c r="AG229" s="64"/>
      <c r="AH229" s="64"/>
      <c r="AI229" s="75"/>
    </row>
    <row r="230" spans="1:35">
      <c r="A230" s="65" t="s">
        <v>185</v>
      </c>
      <c r="B230" s="66" t="s">
        <v>186</v>
      </c>
      <c r="C230" s="79">
        <v>30</v>
      </c>
      <c r="D230" s="68" t="s">
        <v>26</v>
      </c>
      <c r="E230" s="69"/>
      <c r="F230" s="70" t="str">
        <f t="shared" si="5"/>
        <v>custom specs 30 Min</v>
      </c>
      <c r="G230" s="90"/>
      <c r="H230" s="90"/>
      <c r="I230" s="87"/>
      <c r="J230" s="71"/>
      <c r="K230" s="71"/>
      <c r="L230" s="71"/>
      <c r="M230" s="71"/>
      <c r="N230" s="71"/>
      <c r="O230" s="71"/>
      <c r="P230" s="71"/>
      <c r="Q230" s="71"/>
      <c r="R230" s="71"/>
      <c r="S230" s="71"/>
      <c r="T230" s="71"/>
      <c r="U230" s="342"/>
      <c r="V230" s="71"/>
      <c r="W230" s="71"/>
      <c r="X230" s="71"/>
      <c r="Y230" s="71"/>
      <c r="Z230" s="71"/>
      <c r="AA230" s="71"/>
      <c r="AB230" s="71"/>
      <c r="AC230" s="71"/>
      <c r="AD230" s="71"/>
      <c r="AE230" s="71"/>
      <c r="AF230" s="71"/>
      <c r="AG230" s="71"/>
      <c r="AH230" s="71"/>
      <c r="AI230" s="76"/>
    </row>
    <row r="231" spans="1:35">
      <c r="A231" s="59" t="s">
        <v>185</v>
      </c>
      <c r="B231" s="60" t="s">
        <v>186</v>
      </c>
      <c r="C231" s="78">
        <v>31</v>
      </c>
      <c r="D231" s="62" t="s">
        <v>27</v>
      </c>
      <c r="E231" s="63" t="str">
        <f>A231&amp;" "&amp;B231&amp;" "&amp;C231</f>
        <v>custom specs 31</v>
      </c>
      <c r="F231" s="63" t="str">
        <f t="shared" si="5"/>
        <v>custom specs 31 Max</v>
      </c>
      <c r="G231" s="89"/>
      <c r="H231" s="89"/>
      <c r="I231" s="86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341"/>
      <c r="V231" s="64"/>
      <c r="W231" s="64"/>
      <c r="X231" s="64"/>
      <c r="Y231" s="64"/>
      <c r="Z231" s="64"/>
      <c r="AA231" s="64"/>
      <c r="AB231" s="64"/>
      <c r="AC231" s="64"/>
      <c r="AD231" s="64"/>
      <c r="AE231" s="64"/>
      <c r="AF231" s="64"/>
      <c r="AG231" s="64"/>
      <c r="AH231" s="64"/>
      <c r="AI231" s="75"/>
    </row>
    <row r="232" spans="1:35">
      <c r="A232" s="65" t="s">
        <v>185</v>
      </c>
      <c r="B232" s="66" t="s">
        <v>186</v>
      </c>
      <c r="C232" s="79">
        <v>31</v>
      </c>
      <c r="D232" s="68" t="s">
        <v>26</v>
      </c>
      <c r="E232" s="69"/>
      <c r="F232" s="70" t="str">
        <f t="shared" si="5"/>
        <v>custom specs 31 Min</v>
      </c>
      <c r="G232" s="90"/>
      <c r="H232" s="90"/>
      <c r="I232" s="87"/>
      <c r="J232" s="71"/>
      <c r="K232" s="71"/>
      <c r="L232" s="71"/>
      <c r="M232" s="71"/>
      <c r="N232" s="71"/>
      <c r="O232" s="71"/>
      <c r="P232" s="71"/>
      <c r="Q232" s="71"/>
      <c r="R232" s="71"/>
      <c r="S232" s="71"/>
      <c r="T232" s="71"/>
      <c r="U232" s="342"/>
      <c r="V232" s="71"/>
      <c r="W232" s="71"/>
      <c r="X232" s="71"/>
      <c r="Y232" s="71"/>
      <c r="Z232" s="71"/>
      <c r="AA232" s="71"/>
      <c r="AB232" s="71"/>
      <c r="AC232" s="71"/>
      <c r="AD232" s="71"/>
      <c r="AE232" s="71"/>
      <c r="AF232" s="71"/>
      <c r="AG232" s="71"/>
      <c r="AH232" s="71"/>
      <c r="AI232" s="76"/>
    </row>
    <row r="233" spans="1:35">
      <c r="A233" s="59" t="s">
        <v>185</v>
      </c>
      <c r="B233" s="60" t="s">
        <v>186</v>
      </c>
      <c r="C233" s="78">
        <v>32</v>
      </c>
      <c r="D233" s="62" t="s">
        <v>27</v>
      </c>
      <c r="E233" s="63" t="str">
        <f>A233&amp;" "&amp;B233&amp;" "&amp;C233</f>
        <v>custom specs 32</v>
      </c>
      <c r="F233" s="63" t="str">
        <f t="shared" si="5"/>
        <v>custom specs 32 Max</v>
      </c>
      <c r="G233" s="89"/>
      <c r="H233" s="89"/>
      <c r="I233" s="86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341"/>
      <c r="V233" s="64"/>
      <c r="W233" s="64"/>
      <c r="X233" s="64"/>
      <c r="Y233" s="64"/>
      <c r="Z233" s="64"/>
      <c r="AA233" s="64"/>
      <c r="AB233" s="64"/>
      <c r="AC233" s="64"/>
      <c r="AD233" s="64"/>
      <c r="AE233" s="64"/>
      <c r="AF233" s="64"/>
      <c r="AG233" s="64"/>
      <c r="AH233" s="64"/>
      <c r="AI233" s="75"/>
    </row>
    <row r="234" spans="1:35">
      <c r="A234" s="65" t="s">
        <v>185</v>
      </c>
      <c r="B234" s="66" t="s">
        <v>186</v>
      </c>
      <c r="C234" s="79">
        <v>32</v>
      </c>
      <c r="D234" s="68" t="s">
        <v>26</v>
      </c>
      <c r="E234" s="69"/>
      <c r="F234" s="70" t="str">
        <f t="shared" si="5"/>
        <v>custom specs 32 Min</v>
      </c>
      <c r="G234" s="90"/>
      <c r="H234" s="90"/>
      <c r="I234" s="87"/>
      <c r="J234" s="71"/>
      <c r="K234" s="71"/>
      <c r="L234" s="71"/>
      <c r="M234" s="71"/>
      <c r="N234" s="71"/>
      <c r="O234" s="71"/>
      <c r="P234" s="71"/>
      <c r="Q234" s="71"/>
      <c r="R234" s="71"/>
      <c r="S234" s="71"/>
      <c r="T234" s="71"/>
      <c r="U234" s="342"/>
      <c r="V234" s="71"/>
      <c r="W234" s="71"/>
      <c r="X234" s="71"/>
      <c r="Y234" s="71"/>
      <c r="Z234" s="71"/>
      <c r="AA234" s="71"/>
      <c r="AB234" s="71"/>
      <c r="AC234" s="71"/>
      <c r="AD234" s="71"/>
      <c r="AE234" s="71"/>
      <c r="AF234" s="71"/>
      <c r="AG234" s="71"/>
      <c r="AH234" s="71"/>
      <c r="AI234" s="76"/>
    </row>
    <row r="235" spans="1:35">
      <c r="A235" s="59" t="s">
        <v>185</v>
      </c>
      <c r="B235" s="60" t="s">
        <v>186</v>
      </c>
      <c r="C235" s="78">
        <v>33</v>
      </c>
      <c r="D235" s="62" t="s">
        <v>27</v>
      </c>
      <c r="E235" s="63" t="str">
        <f>A235&amp;" "&amp;B235&amp;" "&amp;C235</f>
        <v>custom specs 33</v>
      </c>
      <c r="F235" s="63" t="str">
        <f t="shared" si="5"/>
        <v>custom specs 33 Max</v>
      </c>
      <c r="G235" s="89"/>
      <c r="H235" s="89"/>
      <c r="I235" s="86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341"/>
      <c r="V235" s="64"/>
      <c r="W235" s="64"/>
      <c r="X235" s="64"/>
      <c r="Y235" s="64"/>
      <c r="Z235" s="64"/>
      <c r="AA235" s="64"/>
      <c r="AB235" s="64"/>
      <c r="AC235" s="64"/>
      <c r="AD235" s="64"/>
      <c r="AE235" s="64"/>
      <c r="AF235" s="64"/>
      <c r="AG235" s="64"/>
      <c r="AH235" s="64"/>
      <c r="AI235" s="75"/>
    </row>
    <row r="236" spans="1:35">
      <c r="A236" s="65" t="s">
        <v>185</v>
      </c>
      <c r="B236" s="66" t="s">
        <v>186</v>
      </c>
      <c r="C236" s="79">
        <v>33</v>
      </c>
      <c r="D236" s="68" t="s">
        <v>26</v>
      </c>
      <c r="E236" s="69"/>
      <c r="F236" s="70" t="str">
        <f t="shared" si="5"/>
        <v>custom specs 33 Min</v>
      </c>
      <c r="G236" s="90"/>
      <c r="H236" s="90"/>
      <c r="I236" s="87"/>
      <c r="J236" s="71"/>
      <c r="K236" s="71"/>
      <c r="L236" s="71"/>
      <c r="M236" s="71"/>
      <c r="N236" s="71"/>
      <c r="O236" s="71"/>
      <c r="P236" s="71"/>
      <c r="Q236" s="71"/>
      <c r="R236" s="71"/>
      <c r="S236" s="71"/>
      <c r="T236" s="71"/>
      <c r="U236" s="342"/>
      <c r="V236" s="71"/>
      <c r="W236" s="71"/>
      <c r="X236" s="71"/>
      <c r="Y236" s="71"/>
      <c r="Z236" s="71"/>
      <c r="AA236" s="71"/>
      <c r="AB236" s="71"/>
      <c r="AC236" s="71"/>
      <c r="AD236" s="71"/>
      <c r="AE236" s="71"/>
      <c r="AF236" s="71"/>
      <c r="AG236" s="71"/>
      <c r="AH236" s="71"/>
      <c r="AI236" s="76"/>
    </row>
    <row r="237" spans="1:35">
      <c r="A237" s="59" t="s">
        <v>185</v>
      </c>
      <c r="B237" s="60" t="s">
        <v>186</v>
      </c>
      <c r="C237" s="78">
        <v>34</v>
      </c>
      <c r="D237" s="62" t="s">
        <v>27</v>
      </c>
      <c r="E237" s="63" t="str">
        <f>A237&amp;" "&amp;B237&amp;" "&amp;C237</f>
        <v>custom specs 34</v>
      </c>
      <c r="F237" s="63" t="str">
        <f t="shared" si="5"/>
        <v>custom specs 34 Max</v>
      </c>
      <c r="G237" s="89"/>
      <c r="H237" s="89"/>
      <c r="I237" s="86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341"/>
      <c r="V237" s="64"/>
      <c r="W237" s="64"/>
      <c r="X237" s="64"/>
      <c r="Y237" s="64"/>
      <c r="Z237" s="64"/>
      <c r="AA237" s="64"/>
      <c r="AB237" s="64"/>
      <c r="AC237" s="64"/>
      <c r="AD237" s="64"/>
      <c r="AE237" s="64"/>
      <c r="AF237" s="64"/>
      <c r="AG237" s="64"/>
      <c r="AH237" s="64"/>
      <c r="AI237" s="75"/>
    </row>
    <row r="238" spans="1:35">
      <c r="A238" s="65" t="s">
        <v>185</v>
      </c>
      <c r="B238" s="66" t="s">
        <v>186</v>
      </c>
      <c r="C238" s="79">
        <v>34</v>
      </c>
      <c r="D238" s="68" t="s">
        <v>26</v>
      </c>
      <c r="E238" s="69"/>
      <c r="F238" s="70" t="str">
        <f t="shared" si="5"/>
        <v>custom specs 34 Min</v>
      </c>
      <c r="G238" s="90"/>
      <c r="H238" s="90"/>
      <c r="I238" s="87"/>
      <c r="J238" s="71"/>
      <c r="K238" s="71"/>
      <c r="L238" s="71"/>
      <c r="M238" s="71"/>
      <c r="N238" s="71"/>
      <c r="O238" s="71"/>
      <c r="P238" s="71"/>
      <c r="Q238" s="71"/>
      <c r="R238" s="71"/>
      <c r="S238" s="71"/>
      <c r="T238" s="71"/>
      <c r="U238" s="342"/>
      <c r="V238" s="71"/>
      <c r="W238" s="71"/>
      <c r="X238" s="71"/>
      <c r="Y238" s="71"/>
      <c r="Z238" s="71"/>
      <c r="AA238" s="71"/>
      <c r="AB238" s="71"/>
      <c r="AC238" s="71"/>
      <c r="AD238" s="71"/>
      <c r="AE238" s="71"/>
      <c r="AF238" s="71"/>
      <c r="AG238" s="71"/>
      <c r="AH238" s="71"/>
      <c r="AI238" s="76"/>
    </row>
    <row r="239" spans="1:35">
      <c r="A239" s="59" t="s">
        <v>185</v>
      </c>
      <c r="B239" s="60" t="s">
        <v>186</v>
      </c>
      <c r="C239" s="78">
        <v>35</v>
      </c>
      <c r="D239" s="62" t="s">
        <v>27</v>
      </c>
      <c r="E239" s="63" t="str">
        <f>A239&amp;" "&amp;B239&amp;" "&amp;C239</f>
        <v>custom specs 35</v>
      </c>
      <c r="F239" s="63" t="str">
        <f t="shared" si="5"/>
        <v>custom specs 35 Max</v>
      </c>
      <c r="G239" s="89"/>
      <c r="H239" s="89"/>
      <c r="I239" s="86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341"/>
      <c r="V239" s="64"/>
      <c r="W239" s="64"/>
      <c r="X239" s="64"/>
      <c r="Y239" s="64"/>
      <c r="Z239" s="64"/>
      <c r="AA239" s="64"/>
      <c r="AB239" s="64"/>
      <c r="AC239" s="64"/>
      <c r="AD239" s="64"/>
      <c r="AE239" s="64"/>
      <c r="AF239" s="64"/>
      <c r="AG239" s="64"/>
      <c r="AH239" s="64"/>
      <c r="AI239" s="75"/>
    </row>
    <row r="240" spans="1:35">
      <c r="A240" s="65" t="s">
        <v>185</v>
      </c>
      <c r="B240" s="66" t="s">
        <v>186</v>
      </c>
      <c r="C240" s="79">
        <v>35</v>
      </c>
      <c r="D240" s="68" t="s">
        <v>26</v>
      </c>
      <c r="E240" s="69"/>
      <c r="F240" s="70" t="str">
        <f t="shared" si="5"/>
        <v>custom specs 35 Min</v>
      </c>
      <c r="G240" s="90"/>
      <c r="H240" s="90"/>
      <c r="I240" s="87"/>
      <c r="J240" s="71"/>
      <c r="K240" s="71"/>
      <c r="L240" s="71"/>
      <c r="M240" s="71"/>
      <c r="N240" s="71"/>
      <c r="O240" s="71"/>
      <c r="P240" s="71"/>
      <c r="Q240" s="71"/>
      <c r="R240" s="71"/>
      <c r="S240" s="71"/>
      <c r="T240" s="71"/>
      <c r="U240" s="342"/>
      <c r="V240" s="71"/>
      <c r="W240" s="71"/>
      <c r="X240" s="71"/>
      <c r="Y240" s="71"/>
      <c r="Z240" s="71"/>
      <c r="AA240" s="71"/>
      <c r="AB240" s="71"/>
      <c r="AC240" s="71"/>
      <c r="AD240" s="71"/>
      <c r="AE240" s="71"/>
      <c r="AF240" s="71"/>
      <c r="AG240" s="71"/>
      <c r="AH240" s="71"/>
      <c r="AI240" s="76"/>
    </row>
    <row r="241" spans="1:35">
      <c r="A241" s="59" t="s">
        <v>185</v>
      </c>
      <c r="B241" s="60" t="s">
        <v>186</v>
      </c>
      <c r="C241" s="78">
        <v>36</v>
      </c>
      <c r="D241" s="62" t="s">
        <v>27</v>
      </c>
      <c r="E241" s="63" t="str">
        <f>A241&amp;" "&amp;B241&amp;" "&amp;C241</f>
        <v>custom specs 36</v>
      </c>
      <c r="F241" s="63" t="str">
        <f t="shared" si="5"/>
        <v>custom specs 36 Max</v>
      </c>
      <c r="G241" s="89"/>
      <c r="H241" s="89"/>
      <c r="I241" s="86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341"/>
      <c r="V241" s="64"/>
      <c r="W241" s="64"/>
      <c r="X241" s="64"/>
      <c r="Y241" s="64"/>
      <c r="Z241" s="64"/>
      <c r="AA241" s="64"/>
      <c r="AB241" s="64"/>
      <c r="AC241" s="64"/>
      <c r="AD241" s="64"/>
      <c r="AE241" s="64"/>
      <c r="AF241" s="64"/>
      <c r="AG241" s="64"/>
      <c r="AH241" s="64"/>
      <c r="AI241" s="75"/>
    </row>
    <row r="242" spans="1:35">
      <c r="A242" s="65" t="s">
        <v>185</v>
      </c>
      <c r="B242" s="66" t="s">
        <v>186</v>
      </c>
      <c r="C242" s="79">
        <v>36</v>
      </c>
      <c r="D242" s="68" t="s">
        <v>26</v>
      </c>
      <c r="E242" s="69"/>
      <c r="F242" s="70" t="str">
        <f t="shared" si="5"/>
        <v>custom specs 36 Min</v>
      </c>
      <c r="G242" s="90"/>
      <c r="H242" s="90"/>
      <c r="I242" s="87"/>
      <c r="J242" s="71"/>
      <c r="K242" s="71"/>
      <c r="L242" s="71"/>
      <c r="M242" s="71"/>
      <c r="N242" s="71"/>
      <c r="O242" s="71"/>
      <c r="P242" s="71"/>
      <c r="Q242" s="71"/>
      <c r="R242" s="71"/>
      <c r="S242" s="71"/>
      <c r="T242" s="71"/>
      <c r="U242" s="342"/>
      <c r="V242" s="71"/>
      <c r="W242" s="71"/>
      <c r="X242" s="71"/>
      <c r="Y242" s="71"/>
      <c r="Z242" s="71"/>
      <c r="AA242" s="71"/>
      <c r="AB242" s="71"/>
      <c r="AC242" s="71"/>
      <c r="AD242" s="71"/>
      <c r="AE242" s="71"/>
      <c r="AF242" s="71"/>
      <c r="AG242" s="71"/>
      <c r="AH242" s="71"/>
      <c r="AI242" s="76"/>
    </row>
    <row r="243" spans="1:35">
      <c r="A243" s="59" t="s">
        <v>185</v>
      </c>
      <c r="B243" s="60" t="s">
        <v>186</v>
      </c>
      <c r="C243" s="78">
        <v>37</v>
      </c>
      <c r="D243" s="62" t="s">
        <v>27</v>
      </c>
      <c r="E243" s="63" t="str">
        <f>A243&amp;" "&amp;B243&amp;" "&amp;C243</f>
        <v>custom specs 37</v>
      </c>
      <c r="F243" s="63" t="str">
        <f t="shared" si="5"/>
        <v>custom specs 37 Max</v>
      </c>
      <c r="G243" s="89"/>
      <c r="H243" s="89"/>
      <c r="I243" s="86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341"/>
      <c r="V243" s="64"/>
      <c r="W243" s="64"/>
      <c r="X243" s="64"/>
      <c r="Y243" s="64"/>
      <c r="Z243" s="64"/>
      <c r="AA243" s="64"/>
      <c r="AB243" s="64"/>
      <c r="AC243" s="64"/>
      <c r="AD243" s="64"/>
      <c r="AE243" s="64"/>
      <c r="AF243" s="64"/>
      <c r="AG243" s="64"/>
      <c r="AH243" s="64"/>
      <c r="AI243" s="75"/>
    </row>
    <row r="244" spans="1:35">
      <c r="A244" s="65" t="s">
        <v>185</v>
      </c>
      <c r="B244" s="66" t="s">
        <v>186</v>
      </c>
      <c r="C244" s="79">
        <v>37</v>
      </c>
      <c r="D244" s="68" t="s">
        <v>26</v>
      </c>
      <c r="E244" s="69"/>
      <c r="F244" s="70" t="str">
        <f t="shared" si="5"/>
        <v>custom specs 37 Min</v>
      </c>
      <c r="G244" s="90"/>
      <c r="H244" s="90"/>
      <c r="I244" s="87"/>
      <c r="J244" s="71"/>
      <c r="K244" s="71"/>
      <c r="L244" s="71"/>
      <c r="M244" s="71"/>
      <c r="N244" s="71"/>
      <c r="O244" s="71"/>
      <c r="P244" s="71"/>
      <c r="Q244" s="71"/>
      <c r="R244" s="71"/>
      <c r="S244" s="71"/>
      <c r="T244" s="71"/>
      <c r="U244" s="342"/>
      <c r="V244" s="71"/>
      <c r="W244" s="71"/>
      <c r="X244" s="71"/>
      <c r="Y244" s="71"/>
      <c r="Z244" s="71"/>
      <c r="AA244" s="71"/>
      <c r="AB244" s="71"/>
      <c r="AC244" s="71"/>
      <c r="AD244" s="71"/>
      <c r="AE244" s="71"/>
      <c r="AF244" s="71"/>
      <c r="AG244" s="71"/>
      <c r="AH244" s="71"/>
      <c r="AI244" s="76"/>
    </row>
    <row r="245" spans="1:35">
      <c r="A245" s="59" t="s">
        <v>185</v>
      </c>
      <c r="B245" s="60" t="s">
        <v>186</v>
      </c>
      <c r="C245" s="78">
        <v>38</v>
      </c>
      <c r="D245" s="62" t="s">
        <v>27</v>
      </c>
      <c r="E245" s="63" t="str">
        <f>A245&amp;" "&amp;B245&amp;" "&amp;C245</f>
        <v>custom specs 38</v>
      </c>
      <c r="F245" s="63" t="str">
        <f t="shared" si="5"/>
        <v>custom specs 38 Max</v>
      </c>
      <c r="G245" s="89"/>
      <c r="H245" s="89"/>
      <c r="I245" s="86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341"/>
      <c r="V245" s="64"/>
      <c r="W245" s="64"/>
      <c r="X245" s="64"/>
      <c r="Y245" s="64"/>
      <c r="Z245" s="64"/>
      <c r="AA245" s="64"/>
      <c r="AB245" s="64"/>
      <c r="AC245" s="64"/>
      <c r="AD245" s="64"/>
      <c r="AE245" s="64"/>
      <c r="AF245" s="64"/>
      <c r="AG245" s="64"/>
      <c r="AH245" s="64"/>
      <c r="AI245" s="75"/>
    </row>
    <row r="246" spans="1:35">
      <c r="A246" s="65" t="s">
        <v>185</v>
      </c>
      <c r="B246" s="66" t="s">
        <v>186</v>
      </c>
      <c r="C246" s="79">
        <v>38</v>
      </c>
      <c r="D246" s="68" t="s">
        <v>26</v>
      </c>
      <c r="E246" s="69"/>
      <c r="F246" s="70" t="str">
        <f t="shared" si="5"/>
        <v>custom specs 38 Min</v>
      </c>
      <c r="G246" s="90"/>
      <c r="H246" s="90"/>
      <c r="I246" s="87"/>
      <c r="J246" s="71"/>
      <c r="K246" s="71"/>
      <c r="L246" s="71"/>
      <c r="M246" s="71"/>
      <c r="N246" s="71"/>
      <c r="O246" s="71"/>
      <c r="P246" s="71"/>
      <c r="Q246" s="71"/>
      <c r="R246" s="71"/>
      <c r="S246" s="71"/>
      <c r="T246" s="71"/>
      <c r="U246" s="342"/>
      <c r="V246" s="71"/>
      <c r="W246" s="71"/>
      <c r="X246" s="71"/>
      <c r="Y246" s="71"/>
      <c r="Z246" s="71"/>
      <c r="AA246" s="71"/>
      <c r="AB246" s="71"/>
      <c r="AC246" s="71"/>
      <c r="AD246" s="71"/>
      <c r="AE246" s="71"/>
      <c r="AF246" s="71"/>
      <c r="AG246" s="71"/>
      <c r="AH246" s="71"/>
      <c r="AI246" s="76"/>
    </row>
    <row r="247" spans="1:35">
      <c r="A247" s="59" t="s">
        <v>185</v>
      </c>
      <c r="B247" s="60" t="s">
        <v>186</v>
      </c>
      <c r="C247" s="78">
        <v>39</v>
      </c>
      <c r="D247" s="62" t="s">
        <v>27</v>
      </c>
      <c r="E247" s="63" t="str">
        <f>A247&amp;" "&amp;B247&amp;" "&amp;C247</f>
        <v>custom specs 39</v>
      </c>
      <c r="F247" s="63" t="str">
        <f t="shared" si="5"/>
        <v>custom specs 39 Max</v>
      </c>
      <c r="G247" s="89"/>
      <c r="H247" s="89"/>
      <c r="I247" s="86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341"/>
      <c r="V247" s="64"/>
      <c r="W247" s="64"/>
      <c r="X247" s="64"/>
      <c r="Y247" s="64"/>
      <c r="Z247" s="64"/>
      <c r="AA247" s="64"/>
      <c r="AB247" s="64"/>
      <c r="AC247" s="64"/>
      <c r="AD247" s="64"/>
      <c r="AE247" s="64"/>
      <c r="AF247" s="64"/>
      <c r="AG247" s="64"/>
      <c r="AH247" s="64"/>
      <c r="AI247" s="75"/>
    </row>
    <row r="248" spans="1:35">
      <c r="A248" s="65" t="s">
        <v>185</v>
      </c>
      <c r="B248" s="66" t="s">
        <v>186</v>
      </c>
      <c r="C248" s="79">
        <v>39</v>
      </c>
      <c r="D248" s="68" t="s">
        <v>26</v>
      </c>
      <c r="E248" s="69"/>
      <c r="F248" s="70" t="str">
        <f t="shared" si="5"/>
        <v>custom specs 39 Min</v>
      </c>
      <c r="G248" s="90"/>
      <c r="H248" s="90"/>
      <c r="I248" s="87"/>
      <c r="J248" s="71"/>
      <c r="K248" s="71"/>
      <c r="L248" s="71"/>
      <c r="M248" s="71"/>
      <c r="N248" s="71"/>
      <c r="O248" s="71"/>
      <c r="P248" s="71"/>
      <c r="Q248" s="71"/>
      <c r="R248" s="71"/>
      <c r="S248" s="71"/>
      <c r="T248" s="71"/>
      <c r="U248" s="342"/>
      <c r="V248" s="71"/>
      <c r="W248" s="71"/>
      <c r="X248" s="71"/>
      <c r="Y248" s="71"/>
      <c r="Z248" s="71"/>
      <c r="AA248" s="71"/>
      <c r="AB248" s="71"/>
      <c r="AC248" s="71"/>
      <c r="AD248" s="71"/>
      <c r="AE248" s="71"/>
      <c r="AF248" s="71"/>
      <c r="AG248" s="71"/>
      <c r="AH248" s="71"/>
      <c r="AI248" s="76"/>
    </row>
    <row r="249" spans="1:35">
      <c r="A249" s="59" t="s">
        <v>185</v>
      </c>
      <c r="B249" s="60" t="s">
        <v>186</v>
      </c>
      <c r="C249" s="78">
        <v>40</v>
      </c>
      <c r="D249" s="62" t="s">
        <v>27</v>
      </c>
      <c r="E249" s="63" t="str">
        <f>A249&amp;" "&amp;B249&amp;" "&amp;C249</f>
        <v>custom specs 40</v>
      </c>
      <c r="F249" s="63" t="str">
        <f t="shared" si="5"/>
        <v>custom specs 40 Max</v>
      </c>
      <c r="G249" s="89"/>
      <c r="H249" s="89"/>
      <c r="I249" s="86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341"/>
      <c r="V249" s="64"/>
      <c r="W249" s="64"/>
      <c r="X249" s="64"/>
      <c r="Y249" s="64"/>
      <c r="Z249" s="64"/>
      <c r="AA249" s="64"/>
      <c r="AB249" s="64"/>
      <c r="AC249" s="64"/>
      <c r="AD249" s="64"/>
      <c r="AE249" s="64"/>
      <c r="AF249" s="64"/>
      <c r="AG249" s="64"/>
      <c r="AH249" s="64"/>
      <c r="AI249" s="75"/>
    </row>
    <row r="250" spans="1:35">
      <c r="A250" s="65" t="s">
        <v>185</v>
      </c>
      <c r="B250" s="66" t="s">
        <v>186</v>
      </c>
      <c r="C250" s="79">
        <v>40</v>
      </c>
      <c r="D250" s="68" t="s">
        <v>26</v>
      </c>
      <c r="E250" s="69"/>
      <c r="F250" s="70" t="str">
        <f t="shared" si="5"/>
        <v>custom specs 40 Min</v>
      </c>
      <c r="G250" s="90"/>
      <c r="H250" s="90"/>
      <c r="I250" s="87"/>
      <c r="J250" s="71"/>
      <c r="K250" s="71"/>
      <c r="L250" s="71"/>
      <c r="M250" s="71"/>
      <c r="N250" s="71"/>
      <c r="O250" s="71"/>
      <c r="P250" s="71"/>
      <c r="Q250" s="71"/>
      <c r="R250" s="71"/>
      <c r="S250" s="71"/>
      <c r="T250" s="71"/>
      <c r="U250" s="342"/>
      <c r="V250" s="71"/>
      <c r="W250" s="71"/>
      <c r="X250" s="71"/>
      <c r="Y250" s="71"/>
      <c r="Z250" s="71"/>
      <c r="AA250" s="71"/>
      <c r="AB250" s="71"/>
      <c r="AC250" s="71"/>
      <c r="AD250" s="71"/>
      <c r="AE250" s="71"/>
      <c r="AF250" s="71"/>
      <c r="AG250" s="71"/>
      <c r="AH250" s="71"/>
      <c r="AI250" s="76"/>
    </row>
    <row r="251" spans="1:35">
      <c r="A251" s="59" t="s">
        <v>185</v>
      </c>
      <c r="B251" s="60" t="s">
        <v>186</v>
      </c>
      <c r="C251" s="78">
        <v>41</v>
      </c>
      <c r="D251" s="62" t="s">
        <v>27</v>
      </c>
      <c r="E251" s="63" t="str">
        <f>A251&amp;" "&amp;B251&amp;" "&amp;C251</f>
        <v>custom specs 41</v>
      </c>
      <c r="F251" s="63" t="str">
        <f t="shared" si="5"/>
        <v>custom specs 41 Max</v>
      </c>
      <c r="G251" s="89"/>
      <c r="H251" s="89"/>
      <c r="I251" s="86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341"/>
      <c r="V251" s="64"/>
      <c r="W251" s="64"/>
      <c r="X251" s="64"/>
      <c r="Y251" s="64"/>
      <c r="Z251" s="64"/>
      <c r="AA251" s="64"/>
      <c r="AB251" s="64"/>
      <c r="AC251" s="64"/>
      <c r="AD251" s="64"/>
      <c r="AE251" s="64"/>
      <c r="AF251" s="64"/>
      <c r="AG251" s="64"/>
      <c r="AH251" s="64"/>
      <c r="AI251" s="75"/>
    </row>
    <row r="252" spans="1:35">
      <c r="A252" s="65" t="s">
        <v>185</v>
      </c>
      <c r="B252" s="66" t="s">
        <v>186</v>
      </c>
      <c r="C252" s="79">
        <v>41</v>
      </c>
      <c r="D252" s="68" t="s">
        <v>26</v>
      </c>
      <c r="E252" s="69"/>
      <c r="F252" s="70" t="str">
        <f t="shared" si="5"/>
        <v>custom specs 41 Min</v>
      </c>
      <c r="G252" s="90"/>
      <c r="H252" s="90"/>
      <c r="I252" s="87"/>
      <c r="J252" s="71"/>
      <c r="K252" s="71"/>
      <c r="L252" s="71"/>
      <c r="M252" s="71"/>
      <c r="N252" s="71"/>
      <c r="O252" s="71"/>
      <c r="P252" s="71"/>
      <c r="Q252" s="71"/>
      <c r="R252" s="71"/>
      <c r="S252" s="71"/>
      <c r="T252" s="71"/>
      <c r="U252" s="342"/>
      <c r="V252" s="71"/>
      <c r="W252" s="71"/>
      <c r="X252" s="71"/>
      <c r="Y252" s="71"/>
      <c r="Z252" s="71"/>
      <c r="AA252" s="71"/>
      <c r="AB252" s="71"/>
      <c r="AC252" s="71"/>
      <c r="AD252" s="71"/>
      <c r="AE252" s="71"/>
      <c r="AF252" s="71"/>
      <c r="AG252" s="71"/>
      <c r="AH252" s="71"/>
      <c r="AI252" s="76"/>
    </row>
    <row r="253" spans="1:35">
      <c r="A253" s="59" t="s">
        <v>185</v>
      </c>
      <c r="B253" s="60" t="s">
        <v>186</v>
      </c>
      <c r="C253" s="78">
        <v>42</v>
      </c>
      <c r="D253" s="62" t="s">
        <v>27</v>
      </c>
      <c r="E253" s="63" t="str">
        <f>A253&amp;" "&amp;B253&amp;" "&amp;C253</f>
        <v>custom specs 42</v>
      </c>
      <c r="F253" s="63" t="str">
        <f t="shared" si="5"/>
        <v>custom specs 42 Max</v>
      </c>
      <c r="G253" s="89"/>
      <c r="H253" s="89"/>
      <c r="I253" s="86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341"/>
      <c r="V253" s="64"/>
      <c r="W253" s="64"/>
      <c r="X253" s="64"/>
      <c r="Y253" s="64"/>
      <c r="Z253" s="64"/>
      <c r="AA253" s="64"/>
      <c r="AB253" s="64"/>
      <c r="AC253" s="64"/>
      <c r="AD253" s="64"/>
      <c r="AE253" s="64"/>
      <c r="AF253" s="64"/>
      <c r="AG253" s="64"/>
      <c r="AH253" s="64"/>
      <c r="AI253" s="75"/>
    </row>
    <row r="254" spans="1:35">
      <c r="A254" s="65" t="s">
        <v>185</v>
      </c>
      <c r="B254" s="66" t="s">
        <v>186</v>
      </c>
      <c r="C254" s="79">
        <v>42</v>
      </c>
      <c r="D254" s="68" t="s">
        <v>26</v>
      </c>
      <c r="E254" s="69"/>
      <c r="F254" s="70" t="str">
        <f t="shared" si="5"/>
        <v>custom specs 42 Min</v>
      </c>
      <c r="G254" s="90"/>
      <c r="H254" s="90"/>
      <c r="I254" s="87"/>
      <c r="J254" s="71"/>
      <c r="K254" s="71"/>
      <c r="L254" s="71"/>
      <c r="M254" s="71"/>
      <c r="N254" s="71"/>
      <c r="O254" s="71"/>
      <c r="P254" s="71"/>
      <c r="Q254" s="71"/>
      <c r="R254" s="71"/>
      <c r="S254" s="71"/>
      <c r="T254" s="71"/>
      <c r="U254" s="342"/>
      <c r="V254" s="71"/>
      <c r="W254" s="71"/>
      <c r="X254" s="71"/>
      <c r="Y254" s="71"/>
      <c r="Z254" s="71"/>
      <c r="AA254" s="71"/>
      <c r="AB254" s="71"/>
      <c r="AC254" s="71"/>
      <c r="AD254" s="71"/>
      <c r="AE254" s="71"/>
      <c r="AF254" s="71"/>
      <c r="AG254" s="71"/>
      <c r="AH254" s="71"/>
      <c r="AI254" s="76"/>
    </row>
    <row r="255" spans="1:35">
      <c r="A255" s="59" t="s">
        <v>185</v>
      </c>
      <c r="B255" s="60" t="s">
        <v>186</v>
      </c>
      <c r="C255" s="78">
        <v>43</v>
      </c>
      <c r="D255" s="62" t="s">
        <v>27</v>
      </c>
      <c r="E255" s="63" t="str">
        <f>A255&amp;" "&amp;B255&amp;" "&amp;C255</f>
        <v>custom specs 43</v>
      </c>
      <c r="F255" s="63" t="str">
        <f t="shared" ref="F255:F318" si="6">A255&amp;" "&amp;B255&amp;" "&amp;C255&amp;" "&amp;D255</f>
        <v>custom specs 43 Max</v>
      </c>
      <c r="G255" s="89"/>
      <c r="H255" s="89"/>
      <c r="I255" s="86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341"/>
      <c r="V255" s="64"/>
      <c r="W255" s="64"/>
      <c r="X255" s="64"/>
      <c r="Y255" s="64"/>
      <c r="Z255" s="64"/>
      <c r="AA255" s="64"/>
      <c r="AB255" s="64"/>
      <c r="AC255" s="64"/>
      <c r="AD255" s="64"/>
      <c r="AE255" s="64"/>
      <c r="AF255" s="64"/>
      <c r="AG255" s="64"/>
      <c r="AH255" s="64"/>
      <c r="AI255" s="75"/>
    </row>
    <row r="256" spans="1:35">
      <c r="A256" s="65" t="s">
        <v>185</v>
      </c>
      <c r="B256" s="66" t="s">
        <v>186</v>
      </c>
      <c r="C256" s="79">
        <v>43</v>
      </c>
      <c r="D256" s="68" t="s">
        <v>26</v>
      </c>
      <c r="E256" s="69"/>
      <c r="F256" s="70" t="str">
        <f t="shared" si="6"/>
        <v>custom specs 43 Min</v>
      </c>
      <c r="G256" s="90"/>
      <c r="H256" s="90"/>
      <c r="I256" s="87"/>
      <c r="J256" s="71"/>
      <c r="K256" s="71"/>
      <c r="L256" s="71"/>
      <c r="M256" s="71"/>
      <c r="N256" s="71"/>
      <c r="O256" s="71"/>
      <c r="P256" s="71"/>
      <c r="Q256" s="71"/>
      <c r="R256" s="71"/>
      <c r="S256" s="71"/>
      <c r="T256" s="71"/>
      <c r="U256" s="342"/>
      <c r="V256" s="71"/>
      <c r="W256" s="71"/>
      <c r="X256" s="71"/>
      <c r="Y256" s="71"/>
      <c r="Z256" s="71"/>
      <c r="AA256" s="71"/>
      <c r="AB256" s="71"/>
      <c r="AC256" s="71"/>
      <c r="AD256" s="71"/>
      <c r="AE256" s="71"/>
      <c r="AF256" s="71"/>
      <c r="AG256" s="71"/>
      <c r="AH256" s="71"/>
      <c r="AI256" s="76"/>
    </row>
    <row r="257" spans="1:35">
      <c r="A257" s="59" t="s">
        <v>185</v>
      </c>
      <c r="B257" s="60" t="s">
        <v>186</v>
      </c>
      <c r="C257" s="78">
        <v>44</v>
      </c>
      <c r="D257" s="62" t="s">
        <v>27</v>
      </c>
      <c r="E257" s="63" t="str">
        <f>A257&amp;" "&amp;B257&amp;" "&amp;C257</f>
        <v>custom specs 44</v>
      </c>
      <c r="F257" s="63" t="str">
        <f t="shared" si="6"/>
        <v>custom specs 44 Max</v>
      </c>
      <c r="G257" s="89"/>
      <c r="H257" s="89"/>
      <c r="I257" s="86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341"/>
      <c r="V257" s="64"/>
      <c r="W257" s="64"/>
      <c r="X257" s="64"/>
      <c r="Y257" s="64"/>
      <c r="Z257" s="64"/>
      <c r="AA257" s="64"/>
      <c r="AB257" s="64"/>
      <c r="AC257" s="64"/>
      <c r="AD257" s="64"/>
      <c r="AE257" s="64"/>
      <c r="AF257" s="64"/>
      <c r="AG257" s="64"/>
      <c r="AH257" s="64"/>
      <c r="AI257" s="75"/>
    </row>
    <row r="258" spans="1:35">
      <c r="A258" s="65" t="s">
        <v>185</v>
      </c>
      <c r="B258" s="66" t="s">
        <v>186</v>
      </c>
      <c r="C258" s="79">
        <v>44</v>
      </c>
      <c r="D258" s="68" t="s">
        <v>26</v>
      </c>
      <c r="E258" s="69"/>
      <c r="F258" s="70" t="str">
        <f t="shared" si="6"/>
        <v>custom specs 44 Min</v>
      </c>
      <c r="G258" s="90"/>
      <c r="H258" s="90"/>
      <c r="I258" s="87"/>
      <c r="J258" s="71"/>
      <c r="K258" s="71"/>
      <c r="L258" s="71"/>
      <c r="M258" s="71"/>
      <c r="N258" s="71"/>
      <c r="O258" s="71"/>
      <c r="P258" s="71"/>
      <c r="Q258" s="71"/>
      <c r="R258" s="71"/>
      <c r="S258" s="71"/>
      <c r="T258" s="71"/>
      <c r="U258" s="342"/>
      <c r="V258" s="71"/>
      <c r="W258" s="71"/>
      <c r="X258" s="71"/>
      <c r="Y258" s="71"/>
      <c r="Z258" s="71"/>
      <c r="AA258" s="71"/>
      <c r="AB258" s="71"/>
      <c r="AC258" s="71"/>
      <c r="AD258" s="71"/>
      <c r="AE258" s="71"/>
      <c r="AF258" s="71"/>
      <c r="AG258" s="71"/>
      <c r="AH258" s="71"/>
      <c r="AI258" s="76"/>
    </row>
    <row r="259" spans="1:35">
      <c r="A259" s="59" t="s">
        <v>185</v>
      </c>
      <c r="B259" s="60" t="s">
        <v>186</v>
      </c>
      <c r="C259" s="78">
        <v>45</v>
      </c>
      <c r="D259" s="62" t="s">
        <v>27</v>
      </c>
      <c r="E259" s="63" t="str">
        <f>A259&amp;" "&amp;B259&amp;" "&amp;C259</f>
        <v>custom specs 45</v>
      </c>
      <c r="F259" s="63" t="str">
        <f t="shared" si="6"/>
        <v>custom specs 45 Max</v>
      </c>
      <c r="G259" s="89"/>
      <c r="H259" s="89"/>
      <c r="I259" s="86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341"/>
      <c r="V259" s="64"/>
      <c r="W259" s="64"/>
      <c r="X259" s="64"/>
      <c r="Y259" s="64"/>
      <c r="Z259" s="64"/>
      <c r="AA259" s="64"/>
      <c r="AB259" s="64"/>
      <c r="AC259" s="64"/>
      <c r="AD259" s="64"/>
      <c r="AE259" s="64"/>
      <c r="AF259" s="64"/>
      <c r="AG259" s="64"/>
      <c r="AH259" s="64"/>
      <c r="AI259" s="75"/>
    </row>
    <row r="260" spans="1:35">
      <c r="A260" s="65" t="s">
        <v>185</v>
      </c>
      <c r="B260" s="66" t="s">
        <v>186</v>
      </c>
      <c r="C260" s="79">
        <v>45</v>
      </c>
      <c r="D260" s="68" t="s">
        <v>26</v>
      </c>
      <c r="E260" s="69"/>
      <c r="F260" s="70" t="str">
        <f t="shared" si="6"/>
        <v>custom specs 45 Min</v>
      </c>
      <c r="G260" s="90"/>
      <c r="H260" s="90"/>
      <c r="I260" s="87"/>
      <c r="J260" s="71"/>
      <c r="K260" s="71"/>
      <c r="L260" s="71"/>
      <c r="M260" s="71"/>
      <c r="N260" s="71"/>
      <c r="O260" s="71"/>
      <c r="P260" s="71"/>
      <c r="Q260" s="71"/>
      <c r="R260" s="71"/>
      <c r="S260" s="71"/>
      <c r="T260" s="71"/>
      <c r="U260" s="342"/>
      <c r="V260" s="71"/>
      <c r="W260" s="71"/>
      <c r="X260" s="71"/>
      <c r="Y260" s="71"/>
      <c r="Z260" s="71"/>
      <c r="AA260" s="71"/>
      <c r="AB260" s="71"/>
      <c r="AC260" s="71"/>
      <c r="AD260" s="71"/>
      <c r="AE260" s="71"/>
      <c r="AF260" s="71"/>
      <c r="AG260" s="71"/>
      <c r="AH260" s="71"/>
      <c r="AI260" s="76"/>
    </row>
    <row r="261" spans="1:35">
      <c r="A261" s="59" t="s">
        <v>185</v>
      </c>
      <c r="B261" s="60" t="s">
        <v>186</v>
      </c>
      <c r="C261" s="78">
        <v>46</v>
      </c>
      <c r="D261" s="62" t="s">
        <v>27</v>
      </c>
      <c r="E261" s="63" t="str">
        <f>A261&amp;" "&amp;B261&amp;" "&amp;C261</f>
        <v>custom specs 46</v>
      </c>
      <c r="F261" s="63" t="str">
        <f t="shared" si="6"/>
        <v>custom specs 46 Max</v>
      </c>
      <c r="G261" s="89"/>
      <c r="H261" s="89"/>
      <c r="I261" s="86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341"/>
      <c r="V261" s="64"/>
      <c r="W261" s="64"/>
      <c r="X261" s="64"/>
      <c r="Y261" s="64"/>
      <c r="Z261" s="64"/>
      <c r="AA261" s="64"/>
      <c r="AB261" s="64"/>
      <c r="AC261" s="64"/>
      <c r="AD261" s="64"/>
      <c r="AE261" s="64"/>
      <c r="AF261" s="64"/>
      <c r="AG261" s="64"/>
      <c r="AH261" s="64"/>
      <c r="AI261" s="75"/>
    </row>
    <row r="262" spans="1:35">
      <c r="A262" s="65" t="s">
        <v>185</v>
      </c>
      <c r="B262" s="66" t="s">
        <v>186</v>
      </c>
      <c r="C262" s="79">
        <v>46</v>
      </c>
      <c r="D262" s="68" t="s">
        <v>26</v>
      </c>
      <c r="E262" s="69"/>
      <c r="F262" s="70" t="str">
        <f t="shared" si="6"/>
        <v>custom specs 46 Min</v>
      </c>
      <c r="G262" s="90"/>
      <c r="H262" s="90"/>
      <c r="I262" s="87"/>
      <c r="J262" s="71"/>
      <c r="K262" s="71"/>
      <c r="L262" s="71"/>
      <c r="M262" s="71"/>
      <c r="N262" s="71"/>
      <c r="O262" s="71"/>
      <c r="P262" s="71"/>
      <c r="Q262" s="71"/>
      <c r="R262" s="71"/>
      <c r="S262" s="71"/>
      <c r="T262" s="71"/>
      <c r="U262" s="342"/>
      <c r="V262" s="71"/>
      <c r="W262" s="71"/>
      <c r="X262" s="71"/>
      <c r="Y262" s="71"/>
      <c r="Z262" s="71"/>
      <c r="AA262" s="71"/>
      <c r="AB262" s="71"/>
      <c r="AC262" s="71"/>
      <c r="AD262" s="71"/>
      <c r="AE262" s="71"/>
      <c r="AF262" s="71"/>
      <c r="AG262" s="71"/>
      <c r="AH262" s="71"/>
      <c r="AI262" s="76"/>
    </row>
    <row r="263" spans="1:35">
      <c r="A263" s="59" t="s">
        <v>185</v>
      </c>
      <c r="B263" s="60" t="s">
        <v>186</v>
      </c>
      <c r="C263" s="78">
        <v>47</v>
      </c>
      <c r="D263" s="62" t="s">
        <v>27</v>
      </c>
      <c r="E263" s="63" t="str">
        <f>A263&amp;" "&amp;B263&amp;" "&amp;C263</f>
        <v>custom specs 47</v>
      </c>
      <c r="F263" s="63" t="str">
        <f t="shared" si="6"/>
        <v>custom specs 47 Max</v>
      </c>
      <c r="G263" s="89"/>
      <c r="H263" s="89"/>
      <c r="I263" s="86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341"/>
      <c r="V263" s="64"/>
      <c r="W263" s="64"/>
      <c r="X263" s="64"/>
      <c r="Y263" s="64"/>
      <c r="Z263" s="64"/>
      <c r="AA263" s="64"/>
      <c r="AB263" s="64"/>
      <c r="AC263" s="64"/>
      <c r="AD263" s="64"/>
      <c r="AE263" s="64"/>
      <c r="AF263" s="64"/>
      <c r="AG263" s="64"/>
      <c r="AH263" s="64"/>
      <c r="AI263" s="75"/>
    </row>
    <row r="264" spans="1:35">
      <c r="A264" s="65" t="s">
        <v>185</v>
      </c>
      <c r="B264" s="66" t="s">
        <v>186</v>
      </c>
      <c r="C264" s="79">
        <v>47</v>
      </c>
      <c r="D264" s="68" t="s">
        <v>26</v>
      </c>
      <c r="E264" s="69"/>
      <c r="F264" s="70" t="str">
        <f t="shared" si="6"/>
        <v>custom specs 47 Min</v>
      </c>
      <c r="G264" s="90"/>
      <c r="H264" s="90"/>
      <c r="I264" s="87"/>
      <c r="J264" s="71"/>
      <c r="K264" s="71"/>
      <c r="L264" s="71"/>
      <c r="M264" s="71"/>
      <c r="N264" s="71"/>
      <c r="O264" s="71"/>
      <c r="P264" s="71"/>
      <c r="Q264" s="71"/>
      <c r="R264" s="71"/>
      <c r="S264" s="71"/>
      <c r="T264" s="71"/>
      <c r="U264" s="342"/>
      <c r="V264" s="71"/>
      <c r="W264" s="71"/>
      <c r="X264" s="71"/>
      <c r="Y264" s="71"/>
      <c r="Z264" s="71"/>
      <c r="AA264" s="71"/>
      <c r="AB264" s="71"/>
      <c r="AC264" s="71"/>
      <c r="AD264" s="71"/>
      <c r="AE264" s="71"/>
      <c r="AF264" s="71"/>
      <c r="AG264" s="71"/>
      <c r="AH264" s="71"/>
      <c r="AI264" s="76"/>
    </row>
    <row r="265" spans="1:35">
      <c r="A265" s="59" t="s">
        <v>185</v>
      </c>
      <c r="B265" s="60" t="s">
        <v>186</v>
      </c>
      <c r="C265" s="78">
        <v>48</v>
      </c>
      <c r="D265" s="62" t="s">
        <v>27</v>
      </c>
      <c r="E265" s="63" t="str">
        <f>A265&amp;" "&amp;B265&amp;" "&amp;C265</f>
        <v>custom specs 48</v>
      </c>
      <c r="F265" s="63" t="str">
        <f t="shared" si="6"/>
        <v>custom specs 48 Max</v>
      </c>
      <c r="G265" s="89"/>
      <c r="H265" s="89"/>
      <c r="I265" s="86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341"/>
      <c r="V265" s="64"/>
      <c r="W265" s="64"/>
      <c r="X265" s="64"/>
      <c r="Y265" s="64"/>
      <c r="Z265" s="64"/>
      <c r="AA265" s="64"/>
      <c r="AB265" s="64"/>
      <c r="AC265" s="64"/>
      <c r="AD265" s="64"/>
      <c r="AE265" s="64"/>
      <c r="AF265" s="64"/>
      <c r="AG265" s="64"/>
      <c r="AH265" s="64"/>
      <c r="AI265" s="75"/>
    </row>
    <row r="266" spans="1:35">
      <c r="A266" s="65" t="s">
        <v>185</v>
      </c>
      <c r="B266" s="66" t="s">
        <v>186</v>
      </c>
      <c r="C266" s="79">
        <v>48</v>
      </c>
      <c r="D266" s="68" t="s">
        <v>26</v>
      </c>
      <c r="E266" s="69"/>
      <c r="F266" s="70" t="str">
        <f t="shared" si="6"/>
        <v>custom specs 48 Min</v>
      </c>
      <c r="G266" s="90"/>
      <c r="H266" s="90"/>
      <c r="I266" s="87"/>
      <c r="J266" s="71"/>
      <c r="K266" s="71"/>
      <c r="L266" s="71"/>
      <c r="M266" s="71"/>
      <c r="N266" s="71"/>
      <c r="O266" s="71"/>
      <c r="P266" s="71"/>
      <c r="Q266" s="71"/>
      <c r="R266" s="71"/>
      <c r="S266" s="71"/>
      <c r="T266" s="71"/>
      <c r="U266" s="342"/>
      <c r="V266" s="71"/>
      <c r="W266" s="71"/>
      <c r="X266" s="71"/>
      <c r="Y266" s="71"/>
      <c r="Z266" s="71"/>
      <c r="AA266" s="71"/>
      <c r="AB266" s="71"/>
      <c r="AC266" s="71"/>
      <c r="AD266" s="71"/>
      <c r="AE266" s="71"/>
      <c r="AF266" s="71"/>
      <c r="AG266" s="71"/>
      <c r="AH266" s="71"/>
      <c r="AI266" s="76"/>
    </row>
    <row r="267" spans="1:35">
      <c r="A267" s="59" t="s">
        <v>185</v>
      </c>
      <c r="B267" s="60" t="s">
        <v>186</v>
      </c>
      <c r="C267" s="78">
        <v>49</v>
      </c>
      <c r="D267" s="62" t="s">
        <v>27</v>
      </c>
      <c r="E267" s="63" t="str">
        <f>A267&amp;" "&amp;B267&amp;" "&amp;C267</f>
        <v>custom specs 49</v>
      </c>
      <c r="F267" s="63" t="str">
        <f t="shared" si="6"/>
        <v>custom specs 49 Max</v>
      </c>
      <c r="G267" s="89"/>
      <c r="H267" s="89"/>
      <c r="I267" s="86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341"/>
      <c r="V267" s="64"/>
      <c r="W267" s="64"/>
      <c r="X267" s="64"/>
      <c r="Y267" s="64"/>
      <c r="Z267" s="64"/>
      <c r="AA267" s="64"/>
      <c r="AB267" s="64"/>
      <c r="AC267" s="64"/>
      <c r="AD267" s="64"/>
      <c r="AE267" s="64"/>
      <c r="AF267" s="64"/>
      <c r="AG267" s="64"/>
      <c r="AH267" s="64"/>
      <c r="AI267" s="75"/>
    </row>
    <row r="268" spans="1:35">
      <c r="A268" s="65" t="s">
        <v>185</v>
      </c>
      <c r="B268" s="66" t="s">
        <v>186</v>
      </c>
      <c r="C268" s="79">
        <v>49</v>
      </c>
      <c r="D268" s="68" t="s">
        <v>26</v>
      </c>
      <c r="E268" s="69"/>
      <c r="F268" s="70" t="str">
        <f t="shared" si="6"/>
        <v>custom specs 49 Min</v>
      </c>
      <c r="G268" s="90"/>
      <c r="H268" s="90"/>
      <c r="I268" s="87"/>
      <c r="J268" s="71"/>
      <c r="K268" s="71"/>
      <c r="L268" s="71"/>
      <c r="M268" s="71"/>
      <c r="N268" s="71"/>
      <c r="O268" s="71"/>
      <c r="P268" s="71"/>
      <c r="Q268" s="71"/>
      <c r="R268" s="71"/>
      <c r="S268" s="71"/>
      <c r="T268" s="71"/>
      <c r="U268" s="342"/>
      <c r="V268" s="71"/>
      <c r="W268" s="71"/>
      <c r="X268" s="71"/>
      <c r="Y268" s="71"/>
      <c r="Z268" s="71"/>
      <c r="AA268" s="71"/>
      <c r="AB268" s="71"/>
      <c r="AC268" s="71"/>
      <c r="AD268" s="71"/>
      <c r="AE268" s="71"/>
      <c r="AF268" s="71"/>
      <c r="AG268" s="71"/>
      <c r="AH268" s="71"/>
      <c r="AI268" s="76"/>
    </row>
    <row r="269" spans="1:35">
      <c r="A269" s="59" t="s">
        <v>185</v>
      </c>
      <c r="B269" s="60" t="s">
        <v>186</v>
      </c>
      <c r="C269" s="78">
        <v>50</v>
      </c>
      <c r="D269" s="62" t="s">
        <v>27</v>
      </c>
      <c r="E269" s="63" t="str">
        <f>A269&amp;" "&amp;B269&amp;" "&amp;C269</f>
        <v>custom specs 50</v>
      </c>
      <c r="F269" s="63" t="str">
        <f t="shared" si="6"/>
        <v>custom specs 50 Max</v>
      </c>
      <c r="G269" s="89"/>
      <c r="H269" s="89"/>
      <c r="I269" s="86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341"/>
      <c r="V269" s="64"/>
      <c r="W269" s="64"/>
      <c r="X269" s="64"/>
      <c r="Y269" s="64"/>
      <c r="Z269" s="64"/>
      <c r="AA269" s="64"/>
      <c r="AB269" s="64"/>
      <c r="AC269" s="64"/>
      <c r="AD269" s="64"/>
      <c r="AE269" s="64"/>
      <c r="AF269" s="64"/>
      <c r="AG269" s="64"/>
      <c r="AH269" s="64"/>
      <c r="AI269" s="75"/>
    </row>
    <row r="270" spans="1:35">
      <c r="A270" s="65" t="s">
        <v>185</v>
      </c>
      <c r="B270" s="66" t="s">
        <v>186</v>
      </c>
      <c r="C270" s="79">
        <v>50</v>
      </c>
      <c r="D270" s="68" t="s">
        <v>26</v>
      </c>
      <c r="E270" s="69"/>
      <c r="F270" s="70" t="str">
        <f t="shared" si="6"/>
        <v>custom specs 50 Min</v>
      </c>
      <c r="G270" s="90"/>
      <c r="H270" s="90"/>
      <c r="I270" s="87"/>
      <c r="J270" s="71"/>
      <c r="K270" s="71"/>
      <c r="L270" s="71"/>
      <c r="M270" s="71"/>
      <c r="N270" s="71"/>
      <c r="O270" s="71"/>
      <c r="P270" s="71"/>
      <c r="Q270" s="71"/>
      <c r="R270" s="71"/>
      <c r="S270" s="71"/>
      <c r="T270" s="71"/>
      <c r="U270" s="342"/>
      <c r="V270" s="71"/>
      <c r="W270" s="71"/>
      <c r="X270" s="71"/>
      <c r="Y270" s="71"/>
      <c r="Z270" s="71"/>
      <c r="AA270" s="71"/>
      <c r="AB270" s="71"/>
      <c r="AC270" s="71"/>
      <c r="AD270" s="71"/>
      <c r="AE270" s="71"/>
      <c r="AF270" s="71"/>
      <c r="AG270" s="71"/>
      <c r="AH270" s="71"/>
      <c r="AI270" s="76"/>
    </row>
    <row r="271" spans="1:35">
      <c r="A271" s="59" t="s">
        <v>185</v>
      </c>
      <c r="B271" s="60" t="s">
        <v>186</v>
      </c>
      <c r="C271" s="78">
        <v>51</v>
      </c>
      <c r="D271" s="62" t="s">
        <v>27</v>
      </c>
      <c r="E271" s="63" t="str">
        <f>A271&amp;" "&amp;B271&amp;" "&amp;C271</f>
        <v>custom specs 51</v>
      </c>
      <c r="F271" s="63" t="str">
        <f t="shared" si="6"/>
        <v>custom specs 51 Max</v>
      </c>
      <c r="G271" s="89"/>
      <c r="H271" s="89"/>
      <c r="I271" s="86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341"/>
      <c r="V271" s="64"/>
      <c r="W271" s="64"/>
      <c r="X271" s="64"/>
      <c r="Y271" s="64"/>
      <c r="Z271" s="64"/>
      <c r="AA271" s="64"/>
      <c r="AB271" s="64"/>
      <c r="AC271" s="64"/>
      <c r="AD271" s="64"/>
      <c r="AE271" s="64"/>
      <c r="AF271" s="64"/>
      <c r="AG271" s="64"/>
      <c r="AH271" s="64"/>
      <c r="AI271" s="75"/>
    </row>
    <row r="272" spans="1:35">
      <c r="A272" s="65" t="s">
        <v>185</v>
      </c>
      <c r="B272" s="66" t="s">
        <v>186</v>
      </c>
      <c r="C272" s="79">
        <v>51</v>
      </c>
      <c r="D272" s="68" t="s">
        <v>26</v>
      </c>
      <c r="E272" s="69"/>
      <c r="F272" s="70" t="str">
        <f t="shared" si="6"/>
        <v>custom specs 51 Min</v>
      </c>
      <c r="G272" s="90"/>
      <c r="H272" s="90"/>
      <c r="I272" s="87"/>
      <c r="J272" s="71"/>
      <c r="K272" s="71"/>
      <c r="L272" s="71"/>
      <c r="M272" s="71"/>
      <c r="N272" s="71"/>
      <c r="O272" s="71"/>
      <c r="P272" s="71"/>
      <c r="Q272" s="71"/>
      <c r="R272" s="71"/>
      <c r="S272" s="71"/>
      <c r="T272" s="71"/>
      <c r="U272" s="342"/>
      <c r="V272" s="71"/>
      <c r="W272" s="71"/>
      <c r="X272" s="71"/>
      <c r="Y272" s="71"/>
      <c r="Z272" s="71"/>
      <c r="AA272" s="71"/>
      <c r="AB272" s="71"/>
      <c r="AC272" s="71"/>
      <c r="AD272" s="71"/>
      <c r="AE272" s="71"/>
      <c r="AF272" s="71"/>
      <c r="AG272" s="71"/>
      <c r="AH272" s="71"/>
      <c r="AI272" s="76"/>
    </row>
    <row r="273" spans="1:35">
      <c r="A273" s="59" t="s">
        <v>185</v>
      </c>
      <c r="B273" s="60" t="s">
        <v>186</v>
      </c>
      <c r="C273" s="78">
        <v>52</v>
      </c>
      <c r="D273" s="62" t="s">
        <v>27</v>
      </c>
      <c r="E273" s="63" t="str">
        <f>A273&amp;" "&amp;B273&amp;" "&amp;C273</f>
        <v>custom specs 52</v>
      </c>
      <c r="F273" s="63" t="str">
        <f t="shared" si="6"/>
        <v>custom specs 52 Max</v>
      </c>
      <c r="G273" s="89"/>
      <c r="H273" s="89"/>
      <c r="I273" s="86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341"/>
      <c r="V273" s="64"/>
      <c r="W273" s="64"/>
      <c r="X273" s="64"/>
      <c r="Y273" s="64"/>
      <c r="Z273" s="64"/>
      <c r="AA273" s="64"/>
      <c r="AB273" s="64"/>
      <c r="AC273" s="64"/>
      <c r="AD273" s="64"/>
      <c r="AE273" s="64"/>
      <c r="AF273" s="64"/>
      <c r="AG273" s="64"/>
      <c r="AH273" s="64"/>
      <c r="AI273" s="75"/>
    </row>
    <row r="274" spans="1:35">
      <c r="A274" s="65" t="s">
        <v>185</v>
      </c>
      <c r="B274" s="66" t="s">
        <v>186</v>
      </c>
      <c r="C274" s="79">
        <v>52</v>
      </c>
      <c r="D274" s="68" t="s">
        <v>26</v>
      </c>
      <c r="E274" s="69"/>
      <c r="F274" s="70" t="str">
        <f t="shared" si="6"/>
        <v>custom specs 52 Min</v>
      </c>
      <c r="G274" s="90"/>
      <c r="H274" s="90"/>
      <c r="I274" s="87"/>
      <c r="J274" s="71"/>
      <c r="K274" s="71"/>
      <c r="L274" s="71"/>
      <c r="M274" s="71"/>
      <c r="N274" s="71"/>
      <c r="O274" s="71"/>
      <c r="P274" s="71"/>
      <c r="Q274" s="71"/>
      <c r="R274" s="71"/>
      <c r="S274" s="71"/>
      <c r="T274" s="71"/>
      <c r="U274" s="342"/>
      <c r="V274" s="71"/>
      <c r="W274" s="71"/>
      <c r="X274" s="71"/>
      <c r="Y274" s="71"/>
      <c r="Z274" s="71"/>
      <c r="AA274" s="71"/>
      <c r="AB274" s="71"/>
      <c r="AC274" s="71"/>
      <c r="AD274" s="71"/>
      <c r="AE274" s="71"/>
      <c r="AF274" s="71"/>
      <c r="AG274" s="71"/>
      <c r="AH274" s="71"/>
      <c r="AI274" s="76"/>
    </row>
    <row r="275" spans="1:35">
      <c r="A275" s="59" t="s">
        <v>185</v>
      </c>
      <c r="B275" s="60" t="s">
        <v>186</v>
      </c>
      <c r="C275" s="78">
        <v>53</v>
      </c>
      <c r="D275" s="62" t="s">
        <v>27</v>
      </c>
      <c r="E275" s="63" t="str">
        <f>A275&amp;" "&amp;B275&amp;" "&amp;C275</f>
        <v>custom specs 53</v>
      </c>
      <c r="F275" s="63" t="str">
        <f t="shared" si="6"/>
        <v>custom specs 53 Max</v>
      </c>
      <c r="G275" s="89"/>
      <c r="H275" s="89"/>
      <c r="I275" s="86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341"/>
      <c r="V275" s="64"/>
      <c r="W275" s="64"/>
      <c r="X275" s="64"/>
      <c r="Y275" s="64"/>
      <c r="Z275" s="64"/>
      <c r="AA275" s="64"/>
      <c r="AB275" s="64"/>
      <c r="AC275" s="64"/>
      <c r="AD275" s="64"/>
      <c r="AE275" s="64"/>
      <c r="AF275" s="64"/>
      <c r="AG275" s="64"/>
      <c r="AH275" s="64"/>
      <c r="AI275" s="75"/>
    </row>
    <row r="276" spans="1:35">
      <c r="A276" s="65" t="s">
        <v>185</v>
      </c>
      <c r="B276" s="66" t="s">
        <v>186</v>
      </c>
      <c r="C276" s="79">
        <v>53</v>
      </c>
      <c r="D276" s="68" t="s">
        <v>26</v>
      </c>
      <c r="E276" s="69"/>
      <c r="F276" s="70" t="str">
        <f t="shared" si="6"/>
        <v>custom specs 53 Min</v>
      </c>
      <c r="G276" s="90"/>
      <c r="H276" s="90"/>
      <c r="I276" s="87"/>
      <c r="J276" s="71"/>
      <c r="K276" s="71"/>
      <c r="L276" s="71"/>
      <c r="M276" s="71"/>
      <c r="N276" s="71"/>
      <c r="O276" s="71"/>
      <c r="P276" s="71"/>
      <c r="Q276" s="71"/>
      <c r="R276" s="71"/>
      <c r="S276" s="71"/>
      <c r="T276" s="71"/>
      <c r="U276" s="342"/>
      <c r="V276" s="71"/>
      <c r="W276" s="71"/>
      <c r="X276" s="71"/>
      <c r="Y276" s="71"/>
      <c r="Z276" s="71"/>
      <c r="AA276" s="71"/>
      <c r="AB276" s="71"/>
      <c r="AC276" s="71"/>
      <c r="AD276" s="71"/>
      <c r="AE276" s="71"/>
      <c r="AF276" s="71"/>
      <c r="AG276" s="71"/>
      <c r="AH276" s="71"/>
      <c r="AI276" s="76"/>
    </row>
    <row r="277" spans="1:35">
      <c r="A277" s="59" t="s">
        <v>185</v>
      </c>
      <c r="B277" s="60" t="s">
        <v>186</v>
      </c>
      <c r="C277" s="78">
        <v>54</v>
      </c>
      <c r="D277" s="62" t="s">
        <v>27</v>
      </c>
      <c r="E277" s="63" t="str">
        <f>A277&amp;" "&amp;B277&amp;" "&amp;C277</f>
        <v>custom specs 54</v>
      </c>
      <c r="F277" s="63" t="str">
        <f t="shared" si="6"/>
        <v>custom specs 54 Max</v>
      </c>
      <c r="G277" s="89"/>
      <c r="H277" s="89"/>
      <c r="I277" s="86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341"/>
      <c r="V277" s="64"/>
      <c r="W277" s="64"/>
      <c r="X277" s="64"/>
      <c r="Y277" s="64"/>
      <c r="Z277" s="64"/>
      <c r="AA277" s="64"/>
      <c r="AB277" s="64"/>
      <c r="AC277" s="64"/>
      <c r="AD277" s="64"/>
      <c r="AE277" s="64"/>
      <c r="AF277" s="64"/>
      <c r="AG277" s="64"/>
      <c r="AH277" s="64"/>
      <c r="AI277" s="75"/>
    </row>
    <row r="278" spans="1:35">
      <c r="A278" s="65" t="s">
        <v>185</v>
      </c>
      <c r="B278" s="66" t="s">
        <v>186</v>
      </c>
      <c r="C278" s="79">
        <v>54</v>
      </c>
      <c r="D278" s="68" t="s">
        <v>26</v>
      </c>
      <c r="E278" s="69"/>
      <c r="F278" s="70" t="str">
        <f t="shared" si="6"/>
        <v>custom specs 54 Min</v>
      </c>
      <c r="G278" s="90"/>
      <c r="H278" s="90"/>
      <c r="I278" s="87"/>
      <c r="J278" s="71"/>
      <c r="K278" s="71"/>
      <c r="L278" s="71"/>
      <c r="M278" s="71"/>
      <c r="N278" s="71"/>
      <c r="O278" s="71"/>
      <c r="P278" s="71"/>
      <c r="Q278" s="71"/>
      <c r="R278" s="71"/>
      <c r="S278" s="71"/>
      <c r="T278" s="71"/>
      <c r="U278" s="342"/>
      <c r="V278" s="71"/>
      <c r="W278" s="71"/>
      <c r="X278" s="71"/>
      <c r="Y278" s="71"/>
      <c r="Z278" s="71"/>
      <c r="AA278" s="71"/>
      <c r="AB278" s="71"/>
      <c r="AC278" s="71"/>
      <c r="AD278" s="71"/>
      <c r="AE278" s="71"/>
      <c r="AF278" s="71"/>
      <c r="AG278" s="71"/>
      <c r="AH278" s="71"/>
      <c r="AI278" s="76"/>
    </row>
    <row r="279" spans="1:35">
      <c r="A279" s="59" t="s">
        <v>185</v>
      </c>
      <c r="B279" s="60" t="s">
        <v>186</v>
      </c>
      <c r="C279" s="78">
        <v>55</v>
      </c>
      <c r="D279" s="62" t="s">
        <v>27</v>
      </c>
      <c r="E279" s="63" t="str">
        <f>A279&amp;" "&amp;B279&amp;" "&amp;C279</f>
        <v>custom specs 55</v>
      </c>
      <c r="F279" s="63" t="str">
        <f t="shared" si="6"/>
        <v>custom specs 55 Max</v>
      </c>
      <c r="G279" s="89"/>
      <c r="H279" s="89"/>
      <c r="I279" s="86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341"/>
      <c r="V279" s="64"/>
      <c r="W279" s="64"/>
      <c r="X279" s="64"/>
      <c r="Y279" s="64"/>
      <c r="Z279" s="64"/>
      <c r="AA279" s="64"/>
      <c r="AB279" s="64"/>
      <c r="AC279" s="64"/>
      <c r="AD279" s="64"/>
      <c r="AE279" s="64"/>
      <c r="AF279" s="64"/>
      <c r="AG279" s="64"/>
      <c r="AH279" s="64"/>
      <c r="AI279" s="75"/>
    </row>
    <row r="280" spans="1:35">
      <c r="A280" s="65" t="s">
        <v>185</v>
      </c>
      <c r="B280" s="66" t="s">
        <v>186</v>
      </c>
      <c r="C280" s="79">
        <v>55</v>
      </c>
      <c r="D280" s="68" t="s">
        <v>26</v>
      </c>
      <c r="E280" s="69"/>
      <c r="F280" s="70" t="str">
        <f t="shared" si="6"/>
        <v>custom specs 55 Min</v>
      </c>
      <c r="G280" s="90"/>
      <c r="H280" s="90"/>
      <c r="I280" s="87"/>
      <c r="J280" s="71"/>
      <c r="K280" s="71"/>
      <c r="L280" s="71"/>
      <c r="M280" s="71"/>
      <c r="N280" s="71"/>
      <c r="O280" s="71"/>
      <c r="P280" s="71"/>
      <c r="Q280" s="71"/>
      <c r="R280" s="71"/>
      <c r="S280" s="71"/>
      <c r="T280" s="71"/>
      <c r="U280" s="342"/>
      <c r="V280" s="71"/>
      <c r="W280" s="71"/>
      <c r="X280" s="71"/>
      <c r="Y280" s="71"/>
      <c r="Z280" s="71"/>
      <c r="AA280" s="71"/>
      <c r="AB280" s="71"/>
      <c r="AC280" s="71"/>
      <c r="AD280" s="71"/>
      <c r="AE280" s="71"/>
      <c r="AF280" s="71"/>
      <c r="AG280" s="71"/>
      <c r="AH280" s="71"/>
      <c r="AI280" s="76"/>
    </row>
    <row r="281" spans="1:35">
      <c r="A281" s="59" t="s">
        <v>185</v>
      </c>
      <c r="B281" s="60" t="s">
        <v>186</v>
      </c>
      <c r="C281" s="78">
        <v>56</v>
      </c>
      <c r="D281" s="62" t="s">
        <v>27</v>
      </c>
      <c r="E281" s="63" t="str">
        <f>A281&amp;" "&amp;B281&amp;" "&amp;C281</f>
        <v>custom specs 56</v>
      </c>
      <c r="F281" s="63" t="str">
        <f t="shared" si="6"/>
        <v>custom specs 56 Max</v>
      </c>
      <c r="G281" s="89"/>
      <c r="H281" s="89"/>
      <c r="I281" s="86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341"/>
      <c r="V281" s="64"/>
      <c r="W281" s="64"/>
      <c r="X281" s="64"/>
      <c r="Y281" s="64"/>
      <c r="Z281" s="64"/>
      <c r="AA281" s="64"/>
      <c r="AB281" s="64"/>
      <c r="AC281" s="64"/>
      <c r="AD281" s="64"/>
      <c r="AE281" s="64"/>
      <c r="AF281" s="64"/>
      <c r="AG281" s="64"/>
      <c r="AH281" s="64"/>
      <c r="AI281" s="75"/>
    </row>
    <row r="282" spans="1:35">
      <c r="A282" s="65" t="s">
        <v>185</v>
      </c>
      <c r="B282" s="66" t="s">
        <v>186</v>
      </c>
      <c r="C282" s="79">
        <v>56</v>
      </c>
      <c r="D282" s="68" t="s">
        <v>26</v>
      </c>
      <c r="E282" s="69"/>
      <c r="F282" s="70" t="str">
        <f t="shared" si="6"/>
        <v>custom specs 56 Min</v>
      </c>
      <c r="G282" s="90"/>
      <c r="H282" s="90"/>
      <c r="I282" s="87"/>
      <c r="J282" s="71"/>
      <c r="K282" s="71"/>
      <c r="L282" s="71"/>
      <c r="M282" s="71"/>
      <c r="N282" s="71"/>
      <c r="O282" s="71"/>
      <c r="P282" s="71"/>
      <c r="Q282" s="71"/>
      <c r="R282" s="71"/>
      <c r="S282" s="71"/>
      <c r="T282" s="71"/>
      <c r="U282" s="342"/>
      <c r="V282" s="71"/>
      <c r="W282" s="71"/>
      <c r="X282" s="71"/>
      <c r="Y282" s="71"/>
      <c r="Z282" s="71"/>
      <c r="AA282" s="71"/>
      <c r="AB282" s="71"/>
      <c r="AC282" s="71"/>
      <c r="AD282" s="71"/>
      <c r="AE282" s="71"/>
      <c r="AF282" s="71"/>
      <c r="AG282" s="71"/>
      <c r="AH282" s="71"/>
      <c r="AI282" s="76"/>
    </row>
    <row r="283" spans="1:35">
      <c r="A283" s="59" t="s">
        <v>185</v>
      </c>
      <c r="B283" s="60" t="s">
        <v>186</v>
      </c>
      <c r="C283" s="78">
        <v>57</v>
      </c>
      <c r="D283" s="62" t="s">
        <v>27</v>
      </c>
      <c r="E283" s="63" t="str">
        <f>A283&amp;" "&amp;B283&amp;" "&amp;C283</f>
        <v>custom specs 57</v>
      </c>
      <c r="F283" s="63" t="str">
        <f t="shared" si="6"/>
        <v>custom specs 57 Max</v>
      </c>
      <c r="G283" s="89"/>
      <c r="H283" s="89"/>
      <c r="I283" s="86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341"/>
      <c r="V283" s="64"/>
      <c r="W283" s="64"/>
      <c r="X283" s="64"/>
      <c r="Y283" s="64"/>
      <c r="Z283" s="64"/>
      <c r="AA283" s="64"/>
      <c r="AB283" s="64"/>
      <c r="AC283" s="64"/>
      <c r="AD283" s="64"/>
      <c r="AE283" s="64"/>
      <c r="AF283" s="64"/>
      <c r="AG283" s="64"/>
      <c r="AH283" s="64"/>
      <c r="AI283" s="75"/>
    </row>
    <row r="284" spans="1:35">
      <c r="A284" s="65" t="s">
        <v>185</v>
      </c>
      <c r="B284" s="66" t="s">
        <v>186</v>
      </c>
      <c r="C284" s="79">
        <v>57</v>
      </c>
      <c r="D284" s="68" t="s">
        <v>26</v>
      </c>
      <c r="E284" s="69"/>
      <c r="F284" s="70" t="str">
        <f t="shared" si="6"/>
        <v>custom specs 57 Min</v>
      </c>
      <c r="G284" s="90"/>
      <c r="H284" s="90"/>
      <c r="I284" s="87"/>
      <c r="J284" s="71"/>
      <c r="K284" s="71"/>
      <c r="L284" s="71"/>
      <c r="M284" s="71"/>
      <c r="N284" s="71"/>
      <c r="O284" s="71"/>
      <c r="P284" s="71"/>
      <c r="Q284" s="71"/>
      <c r="R284" s="71"/>
      <c r="S284" s="71"/>
      <c r="T284" s="71"/>
      <c r="U284" s="342"/>
      <c r="V284" s="71"/>
      <c r="W284" s="71"/>
      <c r="X284" s="71"/>
      <c r="Y284" s="71"/>
      <c r="Z284" s="71"/>
      <c r="AA284" s="71"/>
      <c r="AB284" s="71"/>
      <c r="AC284" s="71"/>
      <c r="AD284" s="71"/>
      <c r="AE284" s="71"/>
      <c r="AF284" s="71"/>
      <c r="AG284" s="71"/>
      <c r="AH284" s="71"/>
      <c r="AI284" s="76"/>
    </row>
    <row r="285" spans="1:35">
      <c r="A285" s="59" t="s">
        <v>185</v>
      </c>
      <c r="B285" s="60" t="s">
        <v>186</v>
      </c>
      <c r="C285" s="78">
        <v>58</v>
      </c>
      <c r="D285" s="62" t="s">
        <v>27</v>
      </c>
      <c r="E285" s="63" t="str">
        <f>A285&amp;" "&amp;B285&amp;" "&amp;C285</f>
        <v>custom specs 58</v>
      </c>
      <c r="F285" s="63" t="str">
        <f t="shared" si="6"/>
        <v>custom specs 58 Max</v>
      </c>
      <c r="G285" s="89"/>
      <c r="H285" s="89"/>
      <c r="I285" s="86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341"/>
      <c r="V285" s="64"/>
      <c r="W285" s="64"/>
      <c r="X285" s="64"/>
      <c r="Y285" s="64"/>
      <c r="Z285" s="64"/>
      <c r="AA285" s="64"/>
      <c r="AB285" s="64"/>
      <c r="AC285" s="64"/>
      <c r="AD285" s="64"/>
      <c r="AE285" s="64"/>
      <c r="AF285" s="64"/>
      <c r="AG285" s="64"/>
      <c r="AH285" s="64"/>
      <c r="AI285" s="75"/>
    </row>
    <row r="286" spans="1:35">
      <c r="A286" s="65" t="s">
        <v>185</v>
      </c>
      <c r="B286" s="66" t="s">
        <v>186</v>
      </c>
      <c r="C286" s="79">
        <v>58</v>
      </c>
      <c r="D286" s="68" t="s">
        <v>26</v>
      </c>
      <c r="E286" s="69"/>
      <c r="F286" s="70" t="str">
        <f t="shared" si="6"/>
        <v>custom specs 58 Min</v>
      </c>
      <c r="G286" s="90"/>
      <c r="H286" s="90"/>
      <c r="I286" s="87"/>
      <c r="J286" s="71"/>
      <c r="K286" s="71"/>
      <c r="L286" s="71"/>
      <c r="M286" s="71"/>
      <c r="N286" s="71"/>
      <c r="O286" s="71"/>
      <c r="P286" s="71"/>
      <c r="Q286" s="71"/>
      <c r="R286" s="71"/>
      <c r="S286" s="71"/>
      <c r="T286" s="71"/>
      <c r="U286" s="342"/>
      <c r="V286" s="71"/>
      <c r="W286" s="71"/>
      <c r="X286" s="71"/>
      <c r="Y286" s="71"/>
      <c r="Z286" s="71"/>
      <c r="AA286" s="71"/>
      <c r="AB286" s="71"/>
      <c r="AC286" s="71"/>
      <c r="AD286" s="71"/>
      <c r="AE286" s="71"/>
      <c r="AF286" s="71"/>
      <c r="AG286" s="71"/>
      <c r="AH286" s="71"/>
      <c r="AI286" s="76"/>
    </row>
    <row r="287" spans="1:35">
      <c r="A287" s="59" t="s">
        <v>185</v>
      </c>
      <c r="B287" s="60" t="s">
        <v>186</v>
      </c>
      <c r="C287" s="78">
        <v>59</v>
      </c>
      <c r="D287" s="62" t="s">
        <v>27</v>
      </c>
      <c r="E287" s="63" t="str">
        <f>A287&amp;" "&amp;B287&amp;" "&amp;C287</f>
        <v>custom specs 59</v>
      </c>
      <c r="F287" s="63" t="str">
        <f t="shared" si="6"/>
        <v>custom specs 59 Max</v>
      </c>
      <c r="G287" s="89"/>
      <c r="H287" s="89"/>
      <c r="I287" s="86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341"/>
      <c r="V287" s="64"/>
      <c r="W287" s="64"/>
      <c r="X287" s="64"/>
      <c r="Y287" s="64"/>
      <c r="Z287" s="64"/>
      <c r="AA287" s="64"/>
      <c r="AB287" s="64"/>
      <c r="AC287" s="64"/>
      <c r="AD287" s="64"/>
      <c r="AE287" s="64"/>
      <c r="AF287" s="64"/>
      <c r="AG287" s="64"/>
      <c r="AH287" s="64"/>
      <c r="AI287" s="75"/>
    </row>
    <row r="288" spans="1:35">
      <c r="A288" s="65" t="s">
        <v>185</v>
      </c>
      <c r="B288" s="66" t="s">
        <v>186</v>
      </c>
      <c r="C288" s="79">
        <v>59</v>
      </c>
      <c r="D288" s="68" t="s">
        <v>26</v>
      </c>
      <c r="E288" s="69"/>
      <c r="F288" s="70" t="str">
        <f t="shared" si="6"/>
        <v>custom specs 59 Min</v>
      </c>
      <c r="G288" s="90"/>
      <c r="H288" s="90"/>
      <c r="I288" s="87"/>
      <c r="J288" s="71"/>
      <c r="K288" s="71"/>
      <c r="L288" s="71"/>
      <c r="M288" s="71"/>
      <c r="N288" s="71"/>
      <c r="O288" s="71"/>
      <c r="P288" s="71"/>
      <c r="Q288" s="71"/>
      <c r="R288" s="71"/>
      <c r="S288" s="71"/>
      <c r="T288" s="71"/>
      <c r="U288" s="342"/>
      <c r="V288" s="71"/>
      <c r="W288" s="71"/>
      <c r="X288" s="71"/>
      <c r="Y288" s="71"/>
      <c r="Z288" s="71"/>
      <c r="AA288" s="71"/>
      <c r="AB288" s="71"/>
      <c r="AC288" s="71"/>
      <c r="AD288" s="71"/>
      <c r="AE288" s="71"/>
      <c r="AF288" s="71"/>
      <c r="AG288" s="71"/>
      <c r="AH288" s="71"/>
      <c r="AI288" s="76"/>
    </row>
    <row r="289" spans="1:35">
      <c r="A289" s="59" t="s">
        <v>185</v>
      </c>
      <c r="B289" s="60" t="s">
        <v>186</v>
      </c>
      <c r="C289" s="78">
        <v>60</v>
      </c>
      <c r="D289" s="62" t="s">
        <v>27</v>
      </c>
      <c r="E289" s="63" t="str">
        <f>A289&amp;" "&amp;B289&amp;" "&amp;C289</f>
        <v>custom specs 60</v>
      </c>
      <c r="F289" s="63" t="str">
        <f t="shared" si="6"/>
        <v>custom specs 60 Max</v>
      </c>
      <c r="G289" s="89"/>
      <c r="H289" s="89"/>
      <c r="I289" s="86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341"/>
      <c r="V289" s="64"/>
      <c r="W289" s="64"/>
      <c r="X289" s="64"/>
      <c r="Y289" s="64"/>
      <c r="Z289" s="64"/>
      <c r="AA289" s="64"/>
      <c r="AB289" s="64"/>
      <c r="AC289" s="64"/>
      <c r="AD289" s="64"/>
      <c r="AE289" s="64"/>
      <c r="AF289" s="64"/>
      <c r="AG289" s="64"/>
      <c r="AH289" s="64"/>
      <c r="AI289" s="75"/>
    </row>
    <row r="290" spans="1:35">
      <c r="A290" s="65" t="s">
        <v>185</v>
      </c>
      <c r="B290" s="66" t="s">
        <v>186</v>
      </c>
      <c r="C290" s="79">
        <v>60</v>
      </c>
      <c r="D290" s="68" t="s">
        <v>26</v>
      </c>
      <c r="E290" s="69"/>
      <c r="F290" s="70" t="str">
        <f t="shared" si="6"/>
        <v>custom specs 60 Min</v>
      </c>
      <c r="G290" s="90"/>
      <c r="H290" s="90"/>
      <c r="I290" s="87"/>
      <c r="J290" s="71"/>
      <c r="K290" s="71"/>
      <c r="L290" s="71"/>
      <c r="M290" s="71"/>
      <c r="N290" s="71"/>
      <c r="O290" s="71"/>
      <c r="P290" s="71"/>
      <c r="Q290" s="71"/>
      <c r="R290" s="71"/>
      <c r="S290" s="71"/>
      <c r="T290" s="71"/>
      <c r="U290" s="342"/>
      <c r="V290" s="71"/>
      <c r="W290" s="71"/>
      <c r="X290" s="71"/>
      <c r="Y290" s="71"/>
      <c r="Z290" s="71"/>
      <c r="AA290" s="71"/>
      <c r="AB290" s="71"/>
      <c r="AC290" s="71"/>
      <c r="AD290" s="71"/>
      <c r="AE290" s="71"/>
      <c r="AF290" s="71"/>
      <c r="AG290" s="71"/>
      <c r="AH290" s="71"/>
      <c r="AI290" s="76"/>
    </row>
    <row r="291" spans="1:35">
      <c r="A291" s="59" t="s">
        <v>185</v>
      </c>
      <c r="B291" s="60" t="s">
        <v>186</v>
      </c>
      <c r="C291" s="78">
        <v>61</v>
      </c>
      <c r="D291" s="62" t="s">
        <v>27</v>
      </c>
      <c r="E291" s="63" t="str">
        <f>A291&amp;" "&amp;B291&amp;" "&amp;C291</f>
        <v>custom specs 61</v>
      </c>
      <c r="F291" s="63" t="str">
        <f t="shared" si="6"/>
        <v>custom specs 61 Max</v>
      </c>
      <c r="G291" s="89"/>
      <c r="H291" s="89"/>
      <c r="I291" s="86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341"/>
      <c r="V291" s="64"/>
      <c r="W291" s="64"/>
      <c r="X291" s="64"/>
      <c r="Y291" s="64"/>
      <c r="Z291" s="64"/>
      <c r="AA291" s="64"/>
      <c r="AB291" s="64"/>
      <c r="AC291" s="64"/>
      <c r="AD291" s="64"/>
      <c r="AE291" s="64"/>
      <c r="AF291" s="64"/>
      <c r="AG291" s="64"/>
      <c r="AH291" s="64"/>
      <c r="AI291" s="75"/>
    </row>
    <row r="292" spans="1:35">
      <c r="A292" s="65" t="s">
        <v>185</v>
      </c>
      <c r="B292" s="66" t="s">
        <v>186</v>
      </c>
      <c r="C292" s="79">
        <v>61</v>
      </c>
      <c r="D292" s="68" t="s">
        <v>26</v>
      </c>
      <c r="E292" s="69"/>
      <c r="F292" s="70" t="str">
        <f t="shared" si="6"/>
        <v>custom specs 61 Min</v>
      </c>
      <c r="G292" s="90"/>
      <c r="H292" s="90"/>
      <c r="I292" s="87"/>
      <c r="J292" s="71"/>
      <c r="K292" s="71"/>
      <c r="L292" s="71"/>
      <c r="M292" s="71"/>
      <c r="N292" s="71"/>
      <c r="O292" s="71"/>
      <c r="P292" s="71"/>
      <c r="Q292" s="71"/>
      <c r="R292" s="71"/>
      <c r="S292" s="71"/>
      <c r="T292" s="71"/>
      <c r="U292" s="342"/>
      <c r="V292" s="71"/>
      <c r="W292" s="71"/>
      <c r="X292" s="71"/>
      <c r="Y292" s="71"/>
      <c r="Z292" s="71"/>
      <c r="AA292" s="71"/>
      <c r="AB292" s="71"/>
      <c r="AC292" s="71"/>
      <c r="AD292" s="71"/>
      <c r="AE292" s="71"/>
      <c r="AF292" s="71"/>
      <c r="AG292" s="71"/>
      <c r="AH292" s="71"/>
      <c r="AI292" s="76"/>
    </row>
    <row r="293" spans="1:35">
      <c r="A293" s="59" t="s">
        <v>185</v>
      </c>
      <c r="B293" s="60" t="s">
        <v>186</v>
      </c>
      <c r="C293" s="78">
        <v>62</v>
      </c>
      <c r="D293" s="62" t="s">
        <v>27</v>
      </c>
      <c r="E293" s="63" t="str">
        <f>A293&amp;" "&amp;B293&amp;" "&amp;C293</f>
        <v>custom specs 62</v>
      </c>
      <c r="F293" s="63" t="str">
        <f t="shared" si="6"/>
        <v>custom specs 62 Max</v>
      </c>
      <c r="G293" s="89"/>
      <c r="H293" s="89"/>
      <c r="I293" s="86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341"/>
      <c r="V293" s="64"/>
      <c r="W293" s="64"/>
      <c r="X293" s="64"/>
      <c r="Y293" s="64"/>
      <c r="Z293" s="64"/>
      <c r="AA293" s="64"/>
      <c r="AB293" s="64"/>
      <c r="AC293" s="64"/>
      <c r="AD293" s="64"/>
      <c r="AE293" s="64"/>
      <c r="AF293" s="64"/>
      <c r="AG293" s="64"/>
      <c r="AH293" s="64"/>
      <c r="AI293" s="75"/>
    </row>
    <row r="294" spans="1:35">
      <c r="A294" s="65" t="s">
        <v>185</v>
      </c>
      <c r="B294" s="66" t="s">
        <v>186</v>
      </c>
      <c r="C294" s="79">
        <v>62</v>
      </c>
      <c r="D294" s="68" t="s">
        <v>26</v>
      </c>
      <c r="E294" s="69"/>
      <c r="F294" s="70" t="str">
        <f t="shared" si="6"/>
        <v>custom specs 62 Min</v>
      </c>
      <c r="G294" s="90"/>
      <c r="H294" s="90"/>
      <c r="I294" s="87"/>
      <c r="J294" s="71"/>
      <c r="K294" s="71"/>
      <c r="L294" s="71"/>
      <c r="M294" s="71"/>
      <c r="N294" s="71"/>
      <c r="O294" s="71"/>
      <c r="P294" s="71"/>
      <c r="Q294" s="71"/>
      <c r="R294" s="71"/>
      <c r="S294" s="71"/>
      <c r="T294" s="71"/>
      <c r="U294" s="342"/>
      <c r="V294" s="71"/>
      <c r="W294" s="71"/>
      <c r="X294" s="71"/>
      <c r="Y294" s="71"/>
      <c r="Z294" s="71"/>
      <c r="AA294" s="71"/>
      <c r="AB294" s="71"/>
      <c r="AC294" s="71"/>
      <c r="AD294" s="71"/>
      <c r="AE294" s="71"/>
      <c r="AF294" s="71"/>
      <c r="AG294" s="71"/>
      <c r="AH294" s="71"/>
      <c r="AI294" s="76"/>
    </row>
    <row r="295" spans="1:35">
      <c r="A295" s="59" t="s">
        <v>185</v>
      </c>
      <c r="B295" s="60" t="s">
        <v>186</v>
      </c>
      <c r="C295" s="78">
        <v>63</v>
      </c>
      <c r="D295" s="62" t="s">
        <v>27</v>
      </c>
      <c r="E295" s="63" t="str">
        <f>A295&amp;" "&amp;B295&amp;" "&amp;C295</f>
        <v>custom specs 63</v>
      </c>
      <c r="F295" s="63" t="str">
        <f t="shared" si="6"/>
        <v>custom specs 63 Max</v>
      </c>
      <c r="G295" s="89"/>
      <c r="H295" s="89"/>
      <c r="I295" s="86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341"/>
      <c r="V295" s="64"/>
      <c r="W295" s="64"/>
      <c r="X295" s="64"/>
      <c r="Y295" s="64"/>
      <c r="Z295" s="64"/>
      <c r="AA295" s="64"/>
      <c r="AB295" s="64"/>
      <c r="AC295" s="64"/>
      <c r="AD295" s="64"/>
      <c r="AE295" s="64"/>
      <c r="AF295" s="64"/>
      <c r="AG295" s="64"/>
      <c r="AH295" s="64"/>
      <c r="AI295" s="75"/>
    </row>
    <row r="296" spans="1:35">
      <c r="A296" s="65" t="s">
        <v>185</v>
      </c>
      <c r="B296" s="66" t="s">
        <v>186</v>
      </c>
      <c r="C296" s="79">
        <v>63</v>
      </c>
      <c r="D296" s="68" t="s">
        <v>26</v>
      </c>
      <c r="E296" s="69"/>
      <c r="F296" s="70" t="str">
        <f t="shared" si="6"/>
        <v>custom specs 63 Min</v>
      </c>
      <c r="G296" s="90"/>
      <c r="H296" s="90"/>
      <c r="I296" s="87"/>
      <c r="J296" s="71"/>
      <c r="K296" s="71"/>
      <c r="L296" s="71"/>
      <c r="M296" s="71"/>
      <c r="N296" s="71"/>
      <c r="O296" s="71"/>
      <c r="P296" s="71"/>
      <c r="Q296" s="71"/>
      <c r="R296" s="71"/>
      <c r="S296" s="71"/>
      <c r="T296" s="71"/>
      <c r="U296" s="342"/>
      <c r="V296" s="71"/>
      <c r="W296" s="71"/>
      <c r="X296" s="71"/>
      <c r="Y296" s="71"/>
      <c r="Z296" s="71"/>
      <c r="AA296" s="71"/>
      <c r="AB296" s="71"/>
      <c r="AC296" s="71"/>
      <c r="AD296" s="71"/>
      <c r="AE296" s="71"/>
      <c r="AF296" s="71"/>
      <c r="AG296" s="71"/>
      <c r="AH296" s="71"/>
      <c r="AI296" s="76"/>
    </row>
    <row r="297" spans="1:35">
      <c r="A297" s="59" t="s">
        <v>185</v>
      </c>
      <c r="B297" s="60" t="s">
        <v>186</v>
      </c>
      <c r="C297" s="78">
        <v>64</v>
      </c>
      <c r="D297" s="62" t="s">
        <v>27</v>
      </c>
      <c r="E297" s="63" t="str">
        <f>A297&amp;" "&amp;B297&amp;" "&amp;C297</f>
        <v>custom specs 64</v>
      </c>
      <c r="F297" s="63" t="str">
        <f t="shared" si="6"/>
        <v>custom specs 64 Max</v>
      </c>
      <c r="G297" s="89"/>
      <c r="H297" s="89"/>
      <c r="I297" s="86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341"/>
      <c r="V297" s="64"/>
      <c r="W297" s="64"/>
      <c r="X297" s="64"/>
      <c r="Y297" s="64"/>
      <c r="Z297" s="64"/>
      <c r="AA297" s="64"/>
      <c r="AB297" s="64"/>
      <c r="AC297" s="64"/>
      <c r="AD297" s="64"/>
      <c r="AE297" s="64"/>
      <c r="AF297" s="64"/>
      <c r="AG297" s="64"/>
      <c r="AH297" s="64"/>
      <c r="AI297" s="75"/>
    </row>
    <row r="298" spans="1:35">
      <c r="A298" s="65" t="s">
        <v>185</v>
      </c>
      <c r="B298" s="66" t="s">
        <v>186</v>
      </c>
      <c r="C298" s="79">
        <v>64</v>
      </c>
      <c r="D298" s="68" t="s">
        <v>26</v>
      </c>
      <c r="E298" s="69"/>
      <c r="F298" s="70" t="str">
        <f t="shared" si="6"/>
        <v>custom specs 64 Min</v>
      </c>
      <c r="G298" s="90"/>
      <c r="H298" s="90"/>
      <c r="I298" s="87"/>
      <c r="J298" s="71"/>
      <c r="K298" s="71"/>
      <c r="L298" s="71"/>
      <c r="M298" s="71"/>
      <c r="N298" s="71"/>
      <c r="O298" s="71"/>
      <c r="P298" s="71"/>
      <c r="Q298" s="71"/>
      <c r="R298" s="71"/>
      <c r="S298" s="71"/>
      <c r="T298" s="71"/>
      <c r="U298" s="342"/>
      <c r="V298" s="71"/>
      <c r="W298" s="71"/>
      <c r="X298" s="71"/>
      <c r="Y298" s="71"/>
      <c r="Z298" s="71"/>
      <c r="AA298" s="71"/>
      <c r="AB298" s="71"/>
      <c r="AC298" s="71"/>
      <c r="AD298" s="71"/>
      <c r="AE298" s="71"/>
      <c r="AF298" s="71"/>
      <c r="AG298" s="71"/>
      <c r="AH298" s="71"/>
      <c r="AI298" s="76"/>
    </row>
    <row r="299" spans="1:35">
      <c r="A299" s="59" t="s">
        <v>185</v>
      </c>
      <c r="B299" s="60" t="s">
        <v>186</v>
      </c>
      <c r="C299" s="78">
        <v>65</v>
      </c>
      <c r="D299" s="62" t="s">
        <v>27</v>
      </c>
      <c r="E299" s="63" t="str">
        <f>A299&amp;" "&amp;B299&amp;" "&amp;C299</f>
        <v>custom specs 65</v>
      </c>
      <c r="F299" s="63" t="str">
        <f t="shared" si="6"/>
        <v>custom specs 65 Max</v>
      </c>
      <c r="G299" s="89"/>
      <c r="H299" s="89"/>
      <c r="I299" s="86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341"/>
      <c r="V299" s="64"/>
      <c r="W299" s="64"/>
      <c r="X299" s="64"/>
      <c r="Y299" s="64"/>
      <c r="Z299" s="64"/>
      <c r="AA299" s="64"/>
      <c r="AB299" s="64"/>
      <c r="AC299" s="64"/>
      <c r="AD299" s="64"/>
      <c r="AE299" s="64"/>
      <c r="AF299" s="64"/>
      <c r="AG299" s="64"/>
      <c r="AH299" s="64"/>
      <c r="AI299" s="75"/>
    </row>
    <row r="300" spans="1:35">
      <c r="A300" s="65" t="s">
        <v>185</v>
      </c>
      <c r="B300" s="66" t="s">
        <v>186</v>
      </c>
      <c r="C300" s="79">
        <v>65</v>
      </c>
      <c r="D300" s="68" t="s">
        <v>26</v>
      </c>
      <c r="E300" s="69"/>
      <c r="F300" s="70" t="str">
        <f t="shared" si="6"/>
        <v>custom specs 65 Min</v>
      </c>
      <c r="G300" s="90"/>
      <c r="H300" s="90"/>
      <c r="I300" s="87"/>
      <c r="J300" s="71"/>
      <c r="K300" s="71"/>
      <c r="L300" s="71"/>
      <c r="M300" s="71"/>
      <c r="N300" s="71"/>
      <c r="O300" s="71"/>
      <c r="P300" s="71"/>
      <c r="Q300" s="71"/>
      <c r="R300" s="71"/>
      <c r="S300" s="71"/>
      <c r="T300" s="71"/>
      <c r="U300" s="342"/>
      <c r="V300" s="71"/>
      <c r="W300" s="71"/>
      <c r="X300" s="71"/>
      <c r="Y300" s="71"/>
      <c r="Z300" s="71"/>
      <c r="AA300" s="71"/>
      <c r="AB300" s="71"/>
      <c r="AC300" s="71"/>
      <c r="AD300" s="71"/>
      <c r="AE300" s="71"/>
      <c r="AF300" s="71"/>
      <c r="AG300" s="71"/>
      <c r="AH300" s="71"/>
      <c r="AI300" s="76"/>
    </row>
    <row r="301" spans="1:35">
      <c r="A301" s="59" t="s">
        <v>185</v>
      </c>
      <c r="B301" s="60" t="s">
        <v>186</v>
      </c>
      <c r="C301" s="78">
        <v>66</v>
      </c>
      <c r="D301" s="62" t="s">
        <v>27</v>
      </c>
      <c r="E301" s="63" t="str">
        <f>A301&amp;" "&amp;B301&amp;" "&amp;C301</f>
        <v>custom specs 66</v>
      </c>
      <c r="F301" s="63" t="str">
        <f t="shared" si="6"/>
        <v>custom specs 66 Max</v>
      </c>
      <c r="G301" s="89"/>
      <c r="H301" s="89"/>
      <c r="I301" s="86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341"/>
      <c r="V301" s="64"/>
      <c r="W301" s="64"/>
      <c r="X301" s="64"/>
      <c r="Y301" s="64"/>
      <c r="Z301" s="64"/>
      <c r="AA301" s="64"/>
      <c r="AB301" s="64"/>
      <c r="AC301" s="64"/>
      <c r="AD301" s="64"/>
      <c r="AE301" s="64"/>
      <c r="AF301" s="64"/>
      <c r="AG301" s="64"/>
      <c r="AH301" s="64"/>
      <c r="AI301" s="75"/>
    </row>
    <row r="302" spans="1:35">
      <c r="A302" s="65" t="s">
        <v>185</v>
      </c>
      <c r="B302" s="66" t="s">
        <v>186</v>
      </c>
      <c r="C302" s="79">
        <v>66</v>
      </c>
      <c r="D302" s="68" t="s">
        <v>26</v>
      </c>
      <c r="E302" s="69"/>
      <c r="F302" s="70" t="str">
        <f t="shared" si="6"/>
        <v>custom specs 66 Min</v>
      </c>
      <c r="G302" s="90"/>
      <c r="H302" s="90"/>
      <c r="I302" s="87"/>
      <c r="J302" s="71"/>
      <c r="K302" s="71"/>
      <c r="L302" s="71"/>
      <c r="M302" s="71"/>
      <c r="N302" s="71"/>
      <c r="O302" s="71"/>
      <c r="P302" s="71"/>
      <c r="Q302" s="71"/>
      <c r="R302" s="71"/>
      <c r="S302" s="71"/>
      <c r="T302" s="71"/>
      <c r="U302" s="342"/>
      <c r="V302" s="71"/>
      <c r="W302" s="71"/>
      <c r="X302" s="71"/>
      <c r="Y302" s="71"/>
      <c r="Z302" s="71"/>
      <c r="AA302" s="71"/>
      <c r="AB302" s="71"/>
      <c r="AC302" s="71"/>
      <c r="AD302" s="71"/>
      <c r="AE302" s="71"/>
      <c r="AF302" s="71"/>
      <c r="AG302" s="71"/>
      <c r="AH302" s="71"/>
      <c r="AI302" s="76"/>
    </row>
    <row r="303" spans="1:35">
      <c r="A303" s="59" t="s">
        <v>185</v>
      </c>
      <c r="B303" s="60" t="s">
        <v>186</v>
      </c>
      <c r="C303" s="78">
        <v>67</v>
      </c>
      <c r="D303" s="62" t="s">
        <v>27</v>
      </c>
      <c r="E303" s="63" t="str">
        <f>A303&amp;" "&amp;B303&amp;" "&amp;C303</f>
        <v>custom specs 67</v>
      </c>
      <c r="F303" s="63" t="str">
        <f t="shared" si="6"/>
        <v>custom specs 67 Max</v>
      </c>
      <c r="G303" s="89"/>
      <c r="H303" s="89"/>
      <c r="I303" s="86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341"/>
      <c r="V303" s="64"/>
      <c r="W303" s="64"/>
      <c r="X303" s="64"/>
      <c r="Y303" s="64"/>
      <c r="Z303" s="64"/>
      <c r="AA303" s="64"/>
      <c r="AB303" s="64"/>
      <c r="AC303" s="64"/>
      <c r="AD303" s="64"/>
      <c r="AE303" s="64"/>
      <c r="AF303" s="64"/>
      <c r="AG303" s="64"/>
      <c r="AH303" s="64"/>
      <c r="AI303" s="75"/>
    </row>
    <row r="304" spans="1:35">
      <c r="A304" s="65" t="s">
        <v>185</v>
      </c>
      <c r="B304" s="66" t="s">
        <v>186</v>
      </c>
      <c r="C304" s="79">
        <v>67</v>
      </c>
      <c r="D304" s="68" t="s">
        <v>26</v>
      </c>
      <c r="E304" s="69"/>
      <c r="F304" s="70" t="str">
        <f t="shared" si="6"/>
        <v>custom specs 67 Min</v>
      </c>
      <c r="G304" s="90"/>
      <c r="H304" s="90"/>
      <c r="I304" s="87"/>
      <c r="J304" s="71"/>
      <c r="K304" s="71"/>
      <c r="L304" s="71"/>
      <c r="M304" s="71"/>
      <c r="N304" s="71"/>
      <c r="O304" s="71"/>
      <c r="P304" s="71"/>
      <c r="Q304" s="71"/>
      <c r="R304" s="71"/>
      <c r="S304" s="71"/>
      <c r="T304" s="71"/>
      <c r="U304" s="342"/>
      <c r="V304" s="71"/>
      <c r="W304" s="71"/>
      <c r="X304" s="71"/>
      <c r="Y304" s="71"/>
      <c r="Z304" s="71"/>
      <c r="AA304" s="71"/>
      <c r="AB304" s="71"/>
      <c r="AC304" s="71"/>
      <c r="AD304" s="71"/>
      <c r="AE304" s="71"/>
      <c r="AF304" s="71"/>
      <c r="AG304" s="71"/>
      <c r="AH304" s="71"/>
      <c r="AI304" s="76"/>
    </row>
    <row r="305" spans="1:35">
      <c r="A305" s="59" t="s">
        <v>185</v>
      </c>
      <c r="B305" s="60" t="s">
        <v>186</v>
      </c>
      <c r="C305" s="78">
        <v>68</v>
      </c>
      <c r="D305" s="62" t="s">
        <v>27</v>
      </c>
      <c r="E305" s="63" t="str">
        <f>A305&amp;" "&amp;B305&amp;" "&amp;C305</f>
        <v>custom specs 68</v>
      </c>
      <c r="F305" s="63" t="str">
        <f t="shared" si="6"/>
        <v>custom specs 68 Max</v>
      </c>
      <c r="G305" s="89"/>
      <c r="H305" s="89"/>
      <c r="I305" s="86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341"/>
      <c r="V305" s="64"/>
      <c r="W305" s="64"/>
      <c r="X305" s="64"/>
      <c r="Y305" s="64"/>
      <c r="Z305" s="64"/>
      <c r="AA305" s="64"/>
      <c r="AB305" s="64"/>
      <c r="AC305" s="64"/>
      <c r="AD305" s="64"/>
      <c r="AE305" s="64"/>
      <c r="AF305" s="64"/>
      <c r="AG305" s="64"/>
      <c r="AH305" s="64"/>
      <c r="AI305" s="75"/>
    </row>
    <row r="306" spans="1:35">
      <c r="A306" s="65" t="s">
        <v>185</v>
      </c>
      <c r="B306" s="66" t="s">
        <v>186</v>
      </c>
      <c r="C306" s="79">
        <v>68</v>
      </c>
      <c r="D306" s="68" t="s">
        <v>26</v>
      </c>
      <c r="E306" s="69"/>
      <c r="F306" s="70" t="str">
        <f t="shared" si="6"/>
        <v>custom specs 68 Min</v>
      </c>
      <c r="G306" s="90"/>
      <c r="H306" s="90"/>
      <c r="I306" s="87"/>
      <c r="J306" s="71"/>
      <c r="K306" s="71"/>
      <c r="L306" s="71"/>
      <c r="M306" s="71"/>
      <c r="N306" s="71"/>
      <c r="O306" s="71"/>
      <c r="P306" s="71"/>
      <c r="Q306" s="71"/>
      <c r="R306" s="71"/>
      <c r="S306" s="71"/>
      <c r="T306" s="71"/>
      <c r="U306" s="342"/>
      <c r="V306" s="71"/>
      <c r="W306" s="71"/>
      <c r="X306" s="71"/>
      <c r="Y306" s="71"/>
      <c r="Z306" s="71"/>
      <c r="AA306" s="71"/>
      <c r="AB306" s="71"/>
      <c r="AC306" s="71"/>
      <c r="AD306" s="71"/>
      <c r="AE306" s="71"/>
      <c r="AF306" s="71"/>
      <c r="AG306" s="71"/>
      <c r="AH306" s="71"/>
      <c r="AI306" s="76"/>
    </row>
    <row r="307" spans="1:35">
      <c r="A307" s="59" t="s">
        <v>185</v>
      </c>
      <c r="B307" s="60" t="s">
        <v>186</v>
      </c>
      <c r="C307" s="78">
        <v>69</v>
      </c>
      <c r="D307" s="62" t="s">
        <v>27</v>
      </c>
      <c r="E307" s="63" t="str">
        <f>A307&amp;" "&amp;B307&amp;" "&amp;C307</f>
        <v>custom specs 69</v>
      </c>
      <c r="F307" s="63" t="str">
        <f t="shared" si="6"/>
        <v>custom specs 69 Max</v>
      </c>
      <c r="G307" s="89"/>
      <c r="H307" s="89"/>
      <c r="I307" s="86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341"/>
      <c r="V307" s="64"/>
      <c r="W307" s="64"/>
      <c r="X307" s="64"/>
      <c r="Y307" s="64"/>
      <c r="Z307" s="64"/>
      <c r="AA307" s="64"/>
      <c r="AB307" s="64"/>
      <c r="AC307" s="64"/>
      <c r="AD307" s="64"/>
      <c r="AE307" s="64"/>
      <c r="AF307" s="64"/>
      <c r="AG307" s="64"/>
      <c r="AH307" s="64"/>
      <c r="AI307" s="75"/>
    </row>
    <row r="308" spans="1:35">
      <c r="A308" s="65" t="s">
        <v>185</v>
      </c>
      <c r="B308" s="66" t="s">
        <v>186</v>
      </c>
      <c r="C308" s="79">
        <v>69</v>
      </c>
      <c r="D308" s="68" t="s">
        <v>26</v>
      </c>
      <c r="E308" s="69"/>
      <c r="F308" s="70" t="str">
        <f t="shared" si="6"/>
        <v>custom specs 69 Min</v>
      </c>
      <c r="G308" s="90"/>
      <c r="H308" s="90"/>
      <c r="I308" s="87"/>
      <c r="J308" s="71"/>
      <c r="K308" s="71"/>
      <c r="L308" s="71"/>
      <c r="M308" s="71"/>
      <c r="N308" s="71"/>
      <c r="O308" s="71"/>
      <c r="P308" s="71"/>
      <c r="Q308" s="71"/>
      <c r="R308" s="71"/>
      <c r="S308" s="71"/>
      <c r="T308" s="71"/>
      <c r="U308" s="342"/>
      <c r="V308" s="71"/>
      <c r="W308" s="71"/>
      <c r="X308" s="71"/>
      <c r="Y308" s="71"/>
      <c r="Z308" s="71"/>
      <c r="AA308" s="71"/>
      <c r="AB308" s="71"/>
      <c r="AC308" s="71"/>
      <c r="AD308" s="71"/>
      <c r="AE308" s="71"/>
      <c r="AF308" s="71"/>
      <c r="AG308" s="71"/>
      <c r="AH308" s="71"/>
      <c r="AI308" s="76"/>
    </row>
    <row r="309" spans="1:35">
      <c r="A309" s="59" t="s">
        <v>185</v>
      </c>
      <c r="B309" s="60" t="s">
        <v>186</v>
      </c>
      <c r="C309" s="78">
        <v>70</v>
      </c>
      <c r="D309" s="62" t="s">
        <v>27</v>
      </c>
      <c r="E309" s="63" t="str">
        <f>A309&amp;" "&amp;B309&amp;" "&amp;C309</f>
        <v>custom specs 70</v>
      </c>
      <c r="F309" s="63" t="str">
        <f t="shared" si="6"/>
        <v>custom specs 70 Max</v>
      </c>
      <c r="G309" s="89"/>
      <c r="H309" s="89"/>
      <c r="I309" s="86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341"/>
      <c r="V309" s="64"/>
      <c r="W309" s="64"/>
      <c r="X309" s="64"/>
      <c r="Y309" s="64"/>
      <c r="Z309" s="64"/>
      <c r="AA309" s="64"/>
      <c r="AB309" s="64"/>
      <c r="AC309" s="64"/>
      <c r="AD309" s="64"/>
      <c r="AE309" s="64"/>
      <c r="AF309" s="64"/>
      <c r="AG309" s="64"/>
      <c r="AH309" s="64"/>
      <c r="AI309" s="75"/>
    </row>
    <row r="310" spans="1:35">
      <c r="A310" s="65" t="s">
        <v>185</v>
      </c>
      <c r="B310" s="66" t="s">
        <v>186</v>
      </c>
      <c r="C310" s="79">
        <v>70</v>
      </c>
      <c r="D310" s="68" t="s">
        <v>26</v>
      </c>
      <c r="E310" s="69"/>
      <c r="F310" s="70" t="str">
        <f t="shared" si="6"/>
        <v>custom specs 70 Min</v>
      </c>
      <c r="G310" s="90"/>
      <c r="H310" s="90"/>
      <c r="I310" s="87"/>
      <c r="J310" s="71"/>
      <c r="K310" s="71"/>
      <c r="L310" s="71"/>
      <c r="M310" s="71"/>
      <c r="N310" s="71"/>
      <c r="O310" s="71"/>
      <c r="P310" s="71"/>
      <c r="Q310" s="71"/>
      <c r="R310" s="71"/>
      <c r="S310" s="71"/>
      <c r="T310" s="71"/>
      <c r="U310" s="342"/>
      <c r="V310" s="71"/>
      <c r="W310" s="71"/>
      <c r="X310" s="71"/>
      <c r="Y310" s="71"/>
      <c r="Z310" s="71"/>
      <c r="AA310" s="71"/>
      <c r="AB310" s="71"/>
      <c r="AC310" s="71"/>
      <c r="AD310" s="71"/>
      <c r="AE310" s="71"/>
      <c r="AF310" s="71"/>
      <c r="AG310" s="71"/>
      <c r="AH310" s="71"/>
      <c r="AI310" s="76"/>
    </row>
    <row r="311" spans="1:35">
      <c r="A311" s="59" t="s">
        <v>185</v>
      </c>
      <c r="B311" s="60" t="s">
        <v>186</v>
      </c>
      <c r="C311" s="78">
        <v>71</v>
      </c>
      <c r="D311" s="62" t="s">
        <v>27</v>
      </c>
      <c r="E311" s="63" t="str">
        <f>A311&amp;" "&amp;B311&amp;" "&amp;C311</f>
        <v>custom specs 71</v>
      </c>
      <c r="F311" s="63" t="str">
        <f t="shared" si="6"/>
        <v>custom specs 71 Max</v>
      </c>
      <c r="G311" s="89"/>
      <c r="H311" s="89"/>
      <c r="I311" s="86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341"/>
      <c r="V311" s="64"/>
      <c r="W311" s="64"/>
      <c r="X311" s="64"/>
      <c r="Y311" s="64"/>
      <c r="Z311" s="64"/>
      <c r="AA311" s="64"/>
      <c r="AB311" s="64"/>
      <c r="AC311" s="64"/>
      <c r="AD311" s="64"/>
      <c r="AE311" s="64"/>
      <c r="AF311" s="64"/>
      <c r="AG311" s="64"/>
      <c r="AH311" s="64"/>
      <c r="AI311" s="75"/>
    </row>
    <row r="312" spans="1:35">
      <c r="A312" s="65" t="s">
        <v>185</v>
      </c>
      <c r="B312" s="66" t="s">
        <v>186</v>
      </c>
      <c r="C312" s="79">
        <v>71</v>
      </c>
      <c r="D312" s="68" t="s">
        <v>26</v>
      </c>
      <c r="E312" s="69"/>
      <c r="F312" s="70" t="str">
        <f t="shared" si="6"/>
        <v>custom specs 71 Min</v>
      </c>
      <c r="G312" s="90"/>
      <c r="H312" s="90"/>
      <c r="I312" s="87"/>
      <c r="J312" s="71"/>
      <c r="K312" s="71"/>
      <c r="L312" s="71"/>
      <c r="M312" s="71"/>
      <c r="N312" s="71"/>
      <c r="O312" s="71"/>
      <c r="P312" s="71"/>
      <c r="Q312" s="71"/>
      <c r="R312" s="71"/>
      <c r="S312" s="71"/>
      <c r="T312" s="71"/>
      <c r="U312" s="342"/>
      <c r="V312" s="71"/>
      <c r="W312" s="71"/>
      <c r="X312" s="71"/>
      <c r="Y312" s="71"/>
      <c r="Z312" s="71"/>
      <c r="AA312" s="71"/>
      <c r="AB312" s="71"/>
      <c r="AC312" s="71"/>
      <c r="AD312" s="71"/>
      <c r="AE312" s="71"/>
      <c r="AF312" s="71"/>
      <c r="AG312" s="71"/>
      <c r="AH312" s="71"/>
      <c r="AI312" s="76"/>
    </row>
    <row r="313" spans="1:35">
      <c r="A313" s="59" t="s">
        <v>185</v>
      </c>
      <c r="B313" s="60" t="s">
        <v>186</v>
      </c>
      <c r="C313" s="78">
        <v>72</v>
      </c>
      <c r="D313" s="62" t="s">
        <v>27</v>
      </c>
      <c r="E313" s="63" t="str">
        <f>A313&amp;" "&amp;B313&amp;" "&amp;C313</f>
        <v>custom specs 72</v>
      </c>
      <c r="F313" s="63" t="str">
        <f t="shared" si="6"/>
        <v>custom specs 72 Max</v>
      </c>
      <c r="G313" s="89"/>
      <c r="H313" s="89"/>
      <c r="I313" s="86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341"/>
      <c r="V313" s="64"/>
      <c r="W313" s="64"/>
      <c r="X313" s="64"/>
      <c r="Y313" s="64"/>
      <c r="Z313" s="64"/>
      <c r="AA313" s="64"/>
      <c r="AB313" s="64"/>
      <c r="AC313" s="64"/>
      <c r="AD313" s="64"/>
      <c r="AE313" s="64"/>
      <c r="AF313" s="64"/>
      <c r="AG313" s="64"/>
      <c r="AH313" s="64"/>
      <c r="AI313" s="75"/>
    </row>
    <row r="314" spans="1:35">
      <c r="A314" s="65" t="s">
        <v>185</v>
      </c>
      <c r="B314" s="66" t="s">
        <v>186</v>
      </c>
      <c r="C314" s="79">
        <v>72</v>
      </c>
      <c r="D314" s="68" t="s">
        <v>26</v>
      </c>
      <c r="E314" s="69"/>
      <c r="F314" s="70" t="str">
        <f t="shared" si="6"/>
        <v>custom specs 72 Min</v>
      </c>
      <c r="G314" s="90"/>
      <c r="H314" s="90"/>
      <c r="I314" s="87"/>
      <c r="J314" s="71"/>
      <c r="K314" s="71"/>
      <c r="L314" s="71"/>
      <c r="M314" s="71"/>
      <c r="N314" s="71"/>
      <c r="O314" s="71"/>
      <c r="P314" s="71"/>
      <c r="Q314" s="71"/>
      <c r="R314" s="71"/>
      <c r="S314" s="71"/>
      <c r="T314" s="71"/>
      <c r="U314" s="342"/>
      <c r="V314" s="71"/>
      <c r="W314" s="71"/>
      <c r="X314" s="71"/>
      <c r="Y314" s="71"/>
      <c r="Z314" s="71"/>
      <c r="AA314" s="71"/>
      <c r="AB314" s="71"/>
      <c r="AC314" s="71"/>
      <c r="AD314" s="71"/>
      <c r="AE314" s="71"/>
      <c r="AF314" s="71"/>
      <c r="AG314" s="71"/>
      <c r="AH314" s="71"/>
      <c r="AI314" s="76"/>
    </row>
    <row r="315" spans="1:35">
      <c r="A315" s="59" t="s">
        <v>185</v>
      </c>
      <c r="B315" s="60" t="s">
        <v>186</v>
      </c>
      <c r="C315" s="78">
        <v>73</v>
      </c>
      <c r="D315" s="62" t="s">
        <v>27</v>
      </c>
      <c r="E315" s="63" t="str">
        <f>A315&amp;" "&amp;B315&amp;" "&amp;C315</f>
        <v>custom specs 73</v>
      </c>
      <c r="F315" s="63" t="str">
        <f t="shared" si="6"/>
        <v>custom specs 73 Max</v>
      </c>
      <c r="G315" s="89"/>
      <c r="H315" s="89"/>
      <c r="I315" s="86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341"/>
      <c r="V315" s="64"/>
      <c r="W315" s="64"/>
      <c r="X315" s="64"/>
      <c r="Y315" s="64"/>
      <c r="Z315" s="64"/>
      <c r="AA315" s="64"/>
      <c r="AB315" s="64"/>
      <c r="AC315" s="64"/>
      <c r="AD315" s="64"/>
      <c r="AE315" s="64"/>
      <c r="AF315" s="64"/>
      <c r="AG315" s="64"/>
      <c r="AH315" s="64"/>
      <c r="AI315" s="75"/>
    </row>
    <row r="316" spans="1:35">
      <c r="A316" s="65" t="s">
        <v>185</v>
      </c>
      <c r="B316" s="66" t="s">
        <v>186</v>
      </c>
      <c r="C316" s="79">
        <v>73</v>
      </c>
      <c r="D316" s="68" t="s">
        <v>26</v>
      </c>
      <c r="E316" s="69"/>
      <c r="F316" s="70" t="str">
        <f t="shared" si="6"/>
        <v>custom specs 73 Min</v>
      </c>
      <c r="G316" s="90"/>
      <c r="H316" s="90"/>
      <c r="I316" s="87"/>
      <c r="J316" s="71"/>
      <c r="K316" s="71"/>
      <c r="L316" s="71"/>
      <c r="M316" s="71"/>
      <c r="N316" s="71"/>
      <c r="O316" s="71"/>
      <c r="P316" s="71"/>
      <c r="Q316" s="71"/>
      <c r="R316" s="71"/>
      <c r="S316" s="71"/>
      <c r="T316" s="71"/>
      <c r="U316" s="342"/>
      <c r="V316" s="71"/>
      <c r="W316" s="71"/>
      <c r="X316" s="71"/>
      <c r="Y316" s="71"/>
      <c r="Z316" s="71"/>
      <c r="AA316" s="71"/>
      <c r="AB316" s="71"/>
      <c r="AC316" s="71"/>
      <c r="AD316" s="71"/>
      <c r="AE316" s="71"/>
      <c r="AF316" s="71"/>
      <c r="AG316" s="71"/>
      <c r="AH316" s="71"/>
      <c r="AI316" s="76"/>
    </row>
    <row r="317" spans="1:35">
      <c r="A317" s="59" t="s">
        <v>185</v>
      </c>
      <c r="B317" s="60" t="s">
        <v>186</v>
      </c>
      <c r="C317" s="78">
        <v>74</v>
      </c>
      <c r="D317" s="62" t="s">
        <v>27</v>
      </c>
      <c r="E317" s="63" t="str">
        <f>A317&amp;" "&amp;B317&amp;" "&amp;C317</f>
        <v>custom specs 74</v>
      </c>
      <c r="F317" s="63" t="str">
        <f t="shared" si="6"/>
        <v>custom specs 74 Max</v>
      </c>
      <c r="G317" s="89"/>
      <c r="H317" s="89"/>
      <c r="I317" s="86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341"/>
      <c r="V317" s="64"/>
      <c r="W317" s="64"/>
      <c r="X317" s="64"/>
      <c r="Y317" s="64"/>
      <c r="Z317" s="64"/>
      <c r="AA317" s="64"/>
      <c r="AB317" s="64"/>
      <c r="AC317" s="64"/>
      <c r="AD317" s="64"/>
      <c r="AE317" s="64"/>
      <c r="AF317" s="64"/>
      <c r="AG317" s="64"/>
      <c r="AH317" s="64"/>
      <c r="AI317" s="75"/>
    </row>
    <row r="318" spans="1:35">
      <c r="A318" s="65" t="s">
        <v>185</v>
      </c>
      <c r="B318" s="66" t="s">
        <v>186</v>
      </c>
      <c r="C318" s="79">
        <v>74</v>
      </c>
      <c r="D318" s="68" t="s">
        <v>26</v>
      </c>
      <c r="E318" s="69"/>
      <c r="F318" s="70" t="str">
        <f t="shared" si="6"/>
        <v>custom specs 74 Min</v>
      </c>
      <c r="G318" s="90"/>
      <c r="H318" s="90"/>
      <c r="I318" s="87"/>
      <c r="J318" s="71"/>
      <c r="K318" s="71"/>
      <c r="L318" s="71"/>
      <c r="M318" s="71"/>
      <c r="N318" s="71"/>
      <c r="O318" s="71"/>
      <c r="P318" s="71"/>
      <c r="Q318" s="71"/>
      <c r="R318" s="71"/>
      <c r="S318" s="71"/>
      <c r="T318" s="71"/>
      <c r="U318" s="342"/>
      <c r="V318" s="71"/>
      <c r="W318" s="71"/>
      <c r="X318" s="71"/>
      <c r="Y318" s="71"/>
      <c r="Z318" s="71"/>
      <c r="AA318" s="71"/>
      <c r="AB318" s="71"/>
      <c r="AC318" s="71"/>
      <c r="AD318" s="71"/>
      <c r="AE318" s="71"/>
      <c r="AF318" s="71"/>
      <c r="AG318" s="71"/>
      <c r="AH318" s="71"/>
      <c r="AI318" s="76"/>
    </row>
    <row r="319" spans="1:35">
      <c r="A319" s="59" t="s">
        <v>185</v>
      </c>
      <c r="B319" s="60" t="s">
        <v>186</v>
      </c>
      <c r="C319" s="78">
        <v>75</v>
      </c>
      <c r="D319" s="62" t="s">
        <v>27</v>
      </c>
      <c r="E319" s="63" t="str">
        <f>A319&amp;" "&amp;B319&amp;" "&amp;C319</f>
        <v>custom specs 75</v>
      </c>
      <c r="F319" s="63" t="str">
        <f t="shared" ref="F319:F382" si="7">A319&amp;" "&amp;B319&amp;" "&amp;C319&amp;" "&amp;D319</f>
        <v>custom specs 75 Max</v>
      </c>
      <c r="G319" s="89"/>
      <c r="H319" s="89"/>
      <c r="I319" s="86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341"/>
      <c r="V319" s="64"/>
      <c r="W319" s="64"/>
      <c r="X319" s="64"/>
      <c r="Y319" s="64"/>
      <c r="Z319" s="64"/>
      <c r="AA319" s="64"/>
      <c r="AB319" s="64"/>
      <c r="AC319" s="64"/>
      <c r="AD319" s="64"/>
      <c r="AE319" s="64"/>
      <c r="AF319" s="64"/>
      <c r="AG319" s="64"/>
      <c r="AH319" s="64"/>
      <c r="AI319" s="75"/>
    </row>
    <row r="320" spans="1:35">
      <c r="A320" s="65" t="s">
        <v>185</v>
      </c>
      <c r="B320" s="66" t="s">
        <v>186</v>
      </c>
      <c r="C320" s="79">
        <v>75</v>
      </c>
      <c r="D320" s="68" t="s">
        <v>26</v>
      </c>
      <c r="E320" s="69"/>
      <c r="F320" s="70" t="str">
        <f t="shared" si="7"/>
        <v>custom specs 75 Min</v>
      </c>
      <c r="G320" s="90"/>
      <c r="H320" s="90"/>
      <c r="I320" s="87"/>
      <c r="J320" s="71"/>
      <c r="K320" s="71"/>
      <c r="L320" s="71"/>
      <c r="M320" s="71"/>
      <c r="N320" s="71"/>
      <c r="O320" s="71"/>
      <c r="P320" s="71"/>
      <c r="Q320" s="71"/>
      <c r="R320" s="71"/>
      <c r="S320" s="71"/>
      <c r="T320" s="71"/>
      <c r="U320" s="342"/>
      <c r="V320" s="71"/>
      <c r="W320" s="71"/>
      <c r="X320" s="71"/>
      <c r="Y320" s="71"/>
      <c r="Z320" s="71"/>
      <c r="AA320" s="71"/>
      <c r="AB320" s="71"/>
      <c r="AC320" s="71"/>
      <c r="AD320" s="71"/>
      <c r="AE320" s="71"/>
      <c r="AF320" s="71"/>
      <c r="AG320" s="71"/>
      <c r="AH320" s="71"/>
      <c r="AI320" s="76"/>
    </row>
    <row r="321" spans="1:35">
      <c r="A321" s="59" t="s">
        <v>185</v>
      </c>
      <c r="B321" s="60" t="s">
        <v>186</v>
      </c>
      <c r="C321" s="78">
        <v>76</v>
      </c>
      <c r="D321" s="62" t="s">
        <v>27</v>
      </c>
      <c r="E321" s="63" t="str">
        <f>A321&amp;" "&amp;B321&amp;" "&amp;C321</f>
        <v>custom specs 76</v>
      </c>
      <c r="F321" s="63" t="str">
        <f t="shared" si="7"/>
        <v>custom specs 76 Max</v>
      </c>
      <c r="G321" s="89"/>
      <c r="H321" s="89"/>
      <c r="I321" s="86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341"/>
      <c r="V321" s="64"/>
      <c r="W321" s="64"/>
      <c r="X321" s="64"/>
      <c r="Y321" s="64"/>
      <c r="Z321" s="64"/>
      <c r="AA321" s="64"/>
      <c r="AB321" s="64"/>
      <c r="AC321" s="64"/>
      <c r="AD321" s="64"/>
      <c r="AE321" s="64"/>
      <c r="AF321" s="64"/>
      <c r="AG321" s="64"/>
      <c r="AH321" s="64"/>
      <c r="AI321" s="75"/>
    </row>
    <row r="322" spans="1:35">
      <c r="A322" s="65" t="s">
        <v>185</v>
      </c>
      <c r="B322" s="66" t="s">
        <v>186</v>
      </c>
      <c r="C322" s="79">
        <v>76</v>
      </c>
      <c r="D322" s="68" t="s">
        <v>26</v>
      </c>
      <c r="E322" s="69"/>
      <c r="F322" s="70" t="str">
        <f t="shared" si="7"/>
        <v>custom specs 76 Min</v>
      </c>
      <c r="G322" s="90"/>
      <c r="H322" s="90"/>
      <c r="I322" s="87"/>
      <c r="J322" s="71"/>
      <c r="K322" s="71"/>
      <c r="L322" s="71"/>
      <c r="M322" s="71"/>
      <c r="N322" s="71"/>
      <c r="O322" s="71"/>
      <c r="P322" s="71"/>
      <c r="Q322" s="71"/>
      <c r="R322" s="71"/>
      <c r="S322" s="71"/>
      <c r="T322" s="71"/>
      <c r="U322" s="342"/>
      <c r="V322" s="71"/>
      <c r="W322" s="71"/>
      <c r="X322" s="71"/>
      <c r="Y322" s="71"/>
      <c r="Z322" s="71"/>
      <c r="AA322" s="71"/>
      <c r="AB322" s="71"/>
      <c r="AC322" s="71"/>
      <c r="AD322" s="71"/>
      <c r="AE322" s="71"/>
      <c r="AF322" s="71"/>
      <c r="AG322" s="71"/>
      <c r="AH322" s="71"/>
      <c r="AI322" s="76"/>
    </row>
    <row r="323" spans="1:35">
      <c r="A323" s="59" t="s">
        <v>185</v>
      </c>
      <c r="B323" s="60" t="s">
        <v>186</v>
      </c>
      <c r="C323" s="78">
        <v>77</v>
      </c>
      <c r="D323" s="62" t="s">
        <v>27</v>
      </c>
      <c r="E323" s="63" t="str">
        <f>A323&amp;" "&amp;B323&amp;" "&amp;C323</f>
        <v>custom specs 77</v>
      </c>
      <c r="F323" s="63" t="str">
        <f t="shared" si="7"/>
        <v>custom specs 77 Max</v>
      </c>
      <c r="G323" s="89"/>
      <c r="H323" s="89"/>
      <c r="I323" s="86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341"/>
      <c r="V323" s="64"/>
      <c r="W323" s="64"/>
      <c r="X323" s="64"/>
      <c r="Y323" s="64"/>
      <c r="Z323" s="64"/>
      <c r="AA323" s="64"/>
      <c r="AB323" s="64"/>
      <c r="AC323" s="64"/>
      <c r="AD323" s="64"/>
      <c r="AE323" s="64"/>
      <c r="AF323" s="64"/>
      <c r="AG323" s="64"/>
      <c r="AH323" s="64"/>
      <c r="AI323" s="75"/>
    </row>
    <row r="324" spans="1:35">
      <c r="A324" s="65" t="s">
        <v>185</v>
      </c>
      <c r="B324" s="66" t="s">
        <v>186</v>
      </c>
      <c r="C324" s="79">
        <v>77</v>
      </c>
      <c r="D324" s="68" t="s">
        <v>26</v>
      </c>
      <c r="E324" s="69"/>
      <c r="F324" s="70" t="str">
        <f t="shared" si="7"/>
        <v>custom specs 77 Min</v>
      </c>
      <c r="G324" s="90"/>
      <c r="H324" s="90"/>
      <c r="I324" s="87"/>
      <c r="J324" s="71"/>
      <c r="K324" s="71"/>
      <c r="L324" s="71"/>
      <c r="M324" s="71"/>
      <c r="N324" s="71"/>
      <c r="O324" s="71"/>
      <c r="P324" s="71"/>
      <c r="Q324" s="71"/>
      <c r="R324" s="71"/>
      <c r="S324" s="71"/>
      <c r="T324" s="71"/>
      <c r="U324" s="342"/>
      <c r="V324" s="71"/>
      <c r="W324" s="71"/>
      <c r="X324" s="71"/>
      <c r="Y324" s="71"/>
      <c r="Z324" s="71"/>
      <c r="AA324" s="71"/>
      <c r="AB324" s="71"/>
      <c r="AC324" s="71"/>
      <c r="AD324" s="71"/>
      <c r="AE324" s="71"/>
      <c r="AF324" s="71"/>
      <c r="AG324" s="71"/>
      <c r="AH324" s="71"/>
      <c r="AI324" s="76"/>
    </row>
    <row r="325" spans="1:35">
      <c r="A325" s="59" t="s">
        <v>185</v>
      </c>
      <c r="B325" s="60" t="s">
        <v>186</v>
      </c>
      <c r="C325" s="78">
        <v>78</v>
      </c>
      <c r="D325" s="62" t="s">
        <v>27</v>
      </c>
      <c r="E325" s="63" t="str">
        <f>A325&amp;" "&amp;B325&amp;" "&amp;C325</f>
        <v>custom specs 78</v>
      </c>
      <c r="F325" s="63" t="str">
        <f t="shared" si="7"/>
        <v>custom specs 78 Max</v>
      </c>
      <c r="G325" s="89"/>
      <c r="H325" s="89"/>
      <c r="I325" s="86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341"/>
      <c r="V325" s="64"/>
      <c r="W325" s="64"/>
      <c r="X325" s="64"/>
      <c r="Y325" s="64"/>
      <c r="Z325" s="64"/>
      <c r="AA325" s="64"/>
      <c r="AB325" s="64"/>
      <c r="AC325" s="64"/>
      <c r="AD325" s="64"/>
      <c r="AE325" s="64"/>
      <c r="AF325" s="64"/>
      <c r="AG325" s="64"/>
      <c r="AH325" s="64"/>
      <c r="AI325" s="75"/>
    </row>
    <row r="326" spans="1:35">
      <c r="A326" s="65" t="s">
        <v>185</v>
      </c>
      <c r="B326" s="66" t="s">
        <v>186</v>
      </c>
      <c r="C326" s="79">
        <v>78</v>
      </c>
      <c r="D326" s="68" t="s">
        <v>26</v>
      </c>
      <c r="E326" s="69"/>
      <c r="F326" s="70" t="str">
        <f t="shared" si="7"/>
        <v>custom specs 78 Min</v>
      </c>
      <c r="G326" s="90"/>
      <c r="H326" s="90"/>
      <c r="I326" s="87"/>
      <c r="J326" s="71"/>
      <c r="K326" s="71"/>
      <c r="L326" s="71"/>
      <c r="M326" s="71"/>
      <c r="N326" s="71"/>
      <c r="O326" s="71"/>
      <c r="P326" s="71"/>
      <c r="Q326" s="71"/>
      <c r="R326" s="71"/>
      <c r="S326" s="71"/>
      <c r="T326" s="71"/>
      <c r="U326" s="342"/>
      <c r="V326" s="71"/>
      <c r="W326" s="71"/>
      <c r="X326" s="71"/>
      <c r="Y326" s="71"/>
      <c r="Z326" s="71"/>
      <c r="AA326" s="71"/>
      <c r="AB326" s="71"/>
      <c r="AC326" s="71"/>
      <c r="AD326" s="71"/>
      <c r="AE326" s="71"/>
      <c r="AF326" s="71"/>
      <c r="AG326" s="71"/>
      <c r="AH326" s="71"/>
      <c r="AI326" s="76"/>
    </row>
    <row r="327" spans="1:35">
      <c r="A327" s="59" t="s">
        <v>185</v>
      </c>
      <c r="B327" s="60" t="s">
        <v>186</v>
      </c>
      <c r="C327" s="78">
        <v>79</v>
      </c>
      <c r="D327" s="62" t="s">
        <v>27</v>
      </c>
      <c r="E327" s="63" t="str">
        <f>A327&amp;" "&amp;B327&amp;" "&amp;C327</f>
        <v>custom specs 79</v>
      </c>
      <c r="F327" s="63" t="str">
        <f t="shared" si="7"/>
        <v>custom specs 79 Max</v>
      </c>
      <c r="G327" s="89"/>
      <c r="H327" s="89"/>
      <c r="I327" s="86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341"/>
      <c r="V327" s="64"/>
      <c r="W327" s="64"/>
      <c r="X327" s="64"/>
      <c r="Y327" s="64"/>
      <c r="Z327" s="64"/>
      <c r="AA327" s="64"/>
      <c r="AB327" s="64"/>
      <c r="AC327" s="64"/>
      <c r="AD327" s="64"/>
      <c r="AE327" s="64"/>
      <c r="AF327" s="64"/>
      <c r="AG327" s="64"/>
      <c r="AH327" s="64"/>
      <c r="AI327" s="75"/>
    </row>
    <row r="328" spans="1:35">
      <c r="A328" s="65" t="s">
        <v>185</v>
      </c>
      <c r="B328" s="66" t="s">
        <v>186</v>
      </c>
      <c r="C328" s="79">
        <v>79</v>
      </c>
      <c r="D328" s="68" t="s">
        <v>26</v>
      </c>
      <c r="E328" s="69"/>
      <c r="F328" s="70" t="str">
        <f t="shared" si="7"/>
        <v>custom specs 79 Min</v>
      </c>
      <c r="G328" s="90"/>
      <c r="H328" s="90"/>
      <c r="I328" s="87"/>
      <c r="J328" s="71"/>
      <c r="K328" s="71"/>
      <c r="L328" s="71"/>
      <c r="M328" s="71"/>
      <c r="N328" s="71"/>
      <c r="O328" s="71"/>
      <c r="P328" s="71"/>
      <c r="Q328" s="71"/>
      <c r="R328" s="71"/>
      <c r="S328" s="71"/>
      <c r="T328" s="71"/>
      <c r="U328" s="342"/>
      <c r="V328" s="71"/>
      <c r="W328" s="71"/>
      <c r="X328" s="71"/>
      <c r="Y328" s="71"/>
      <c r="Z328" s="71"/>
      <c r="AA328" s="71"/>
      <c r="AB328" s="71"/>
      <c r="AC328" s="71"/>
      <c r="AD328" s="71"/>
      <c r="AE328" s="71"/>
      <c r="AF328" s="71"/>
      <c r="AG328" s="71"/>
      <c r="AH328" s="71"/>
      <c r="AI328" s="76"/>
    </row>
    <row r="329" spans="1:35">
      <c r="A329" s="59" t="s">
        <v>185</v>
      </c>
      <c r="B329" s="60" t="s">
        <v>186</v>
      </c>
      <c r="C329" s="78">
        <v>80</v>
      </c>
      <c r="D329" s="62" t="s">
        <v>27</v>
      </c>
      <c r="E329" s="63" t="str">
        <f>A329&amp;" "&amp;B329&amp;" "&amp;C329</f>
        <v>custom specs 80</v>
      </c>
      <c r="F329" s="63" t="str">
        <f t="shared" si="7"/>
        <v>custom specs 80 Max</v>
      </c>
      <c r="G329" s="89"/>
      <c r="H329" s="89"/>
      <c r="I329" s="86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341"/>
      <c r="V329" s="64"/>
      <c r="W329" s="64"/>
      <c r="X329" s="64"/>
      <c r="Y329" s="64"/>
      <c r="Z329" s="64"/>
      <c r="AA329" s="64"/>
      <c r="AB329" s="64"/>
      <c r="AC329" s="64"/>
      <c r="AD329" s="64"/>
      <c r="AE329" s="64"/>
      <c r="AF329" s="64"/>
      <c r="AG329" s="64"/>
      <c r="AH329" s="64"/>
      <c r="AI329" s="75"/>
    </row>
    <row r="330" spans="1:35">
      <c r="A330" s="65" t="s">
        <v>185</v>
      </c>
      <c r="B330" s="66" t="s">
        <v>186</v>
      </c>
      <c r="C330" s="79">
        <v>80</v>
      </c>
      <c r="D330" s="68" t="s">
        <v>26</v>
      </c>
      <c r="E330" s="69"/>
      <c r="F330" s="70" t="str">
        <f t="shared" si="7"/>
        <v>custom specs 80 Min</v>
      </c>
      <c r="G330" s="90"/>
      <c r="H330" s="90"/>
      <c r="I330" s="87"/>
      <c r="J330" s="71"/>
      <c r="K330" s="71"/>
      <c r="L330" s="71"/>
      <c r="M330" s="71"/>
      <c r="N330" s="71"/>
      <c r="O330" s="71"/>
      <c r="P330" s="71"/>
      <c r="Q330" s="71"/>
      <c r="R330" s="71"/>
      <c r="S330" s="71"/>
      <c r="T330" s="71"/>
      <c r="U330" s="342"/>
      <c r="V330" s="71"/>
      <c r="W330" s="71"/>
      <c r="X330" s="71"/>
      <c r="Y330" s="71"/>
      <c r="Z330" s="71"/>
      <c r="AA330" s="71"/>
      <c r="AB330" s="71"/>
      <c r="AC330" s="71"/>
      <c r="AD330" s="71"/>
      <c r="AE330" s="71"/>
      <c r="AF330" s="71"/>
      <c r="AG330" s="71"/>
      <c r="AH330" s="71"/>
      <c r="AI330" s="76"/>
    </row>
    <row r="331" spans="1:35">
      <c r="A331" s="59" t="s">
        <v>185</v>
      </c>
      <c r="B331" s="60" t="s">
        <v>186</v>
      </c>
      <c r="C331" s="78">
        <v>81</v>
      </c>
      <c r="D331" s="62" t="s">
        <v>27</v>
      </c>
      <c r="E331" s="63" t="str">
        <f>A331&amp;" "&amp;B331&amp;" "&amp;C331</f>
        <v>custom specs 81</v>
      </c>
      <c r="F331" s="63" t="str">
        <f t="shared" si="7"/>
        <v>custom specs 81 Max</v>
      </c>
      <c r="G331" s="89"/>
      <c r="H331" s="89"/>
      <c r="I331" s="86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341"/>
      <c r="V331" s="64"/>
      <c r="W331" s="64"/>
      <c r="X331" s="64"/>
      <c r="Y331" s="64"/>
      <c r="Z331" s="64"/>
      <c r="AA331" s="64"/>
      <c r="AB331" s="64"/>
      <c r="AC331" s="64"/>
      <c r="AD331" s="64"/>
      <c r="AE331" s="64"/>
      <c r="AF331" s="64"/>
      <c r="AG331" s="64"/>
      <c r="AH331" s="64"/>
      <c r="AI331" s="75"/>
    </row>
    <row r="332" spans="1:35">
      <c r="A332" s="65" t="s">
        <v>185</v>
      </c>
      <c r="B332" s="66" t="s">
        <v>186</v>
      </c>
      <c r="C332" s="79">
        <v>81</v>
      </c>
      <c r="D332" s="68" t="s">
        <v>26</v>
      </c>
      <c r="E332" s="69"/>
      <c r="F332" s="70" t="str">
        <f t="shared" si="7"/>
        <v>custom specs 81 Min</v>
      </c>
      <c r="G332" s="90"/>
      <c r="H332" s="90"/>
      <c r="I332" s="87"/>
      <c r="J332" s="71"/>
      <c r="K332" s="71"/>
      <c r="L332" s="71"/>
      <c r="M332" s="71"/>
      <c r="N332" s="71"/>
      <c r="O332" s="71"/>
      <c r="P332" s="71"/>
      <c r="Q332" s="71"/>
      <c r="R332" s="71"/>
      <c r="S332" s="71"/>
      <c r="T332" s="71"/>
      <c r="U332" s="342"/>
      <c r="V332" s="71"/>
      <c r="W332" s="71"/>
      <c r="X332" s="71"/>
      <c r="Y332" s="71"/>
      <c r="Z332" s="71"/>
      <c r="AA332" s="71"/>
      <c r="AB332" s="71"/>
      <c r="AC332" s="71"/>
      <c r="AD332" s="71"/>
      <c r="AE332" s="71"/>
      <c r="AF332" s="71"/>
      <c r="AG332" s="71"/>
      <c r="AH332" s="71"/>
      <c r="AI332" s="76"/>
    </row>
    <row r="333" spans="1:35">
      <c r="A333" s="59" t="s">
        <v>185</v>
      </c>
      <c r="B333" s="60" t="s">
        <v>186</v>
      </c>
      <c r="C333" s="78">
        <v>82</v>
      </c>
      <c r="D333" s="62" t="s">
        <v>27</v>
      </c>
      <c r="E333" s="63" t="str">
        <f>A333&amp;" "&amp;B333&amp;" "&amp;C333</f>
        <v>custom specs 82</v>
      </c>
      <c r="F333" s="63" t="str">
        <f t="shared" si="7"/>
        <v>custom specs 82 Max</v>
      </c>
      <c r="G333" s="89"/>
      <c r="H333" s="89"/>
      <c r="I333" s="86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341"/>
      <c r="V333" s="64"/>
      <c r="W333" s="64"/>
      <c r="X333" s="64"/>
      <c r="Y333" s="64"/>
      <c r="Z333" s="64"/>
      <c r="AA333" s="64"/>
      <c r="AB333" s="64"/>
      <c r="AC333" s="64"/>
      <c r="AD333" s="64"/>
      <c r="AE333" s="64"/>
      <c r="AF333" s="64"/>
      <c r="AG333" s="64"/>
      <c r="AH333" s="64"/>
      <c r="AI333" s="75"/>
    </row>
    <row r="334" spans="1:35">
      <c r="A334" s="65" t="s">
        <v>185</v>
      </c>
      <c r="B334" s="66" t="s">
        <v>186</v>
      </c>
      <c r="C334" s="79">
        <v>82</v>
      </c>
      <c r="D334" s="68" t="s">
        <v>26</v>
      </c>
      <c r="E334" s="69"/>
      <c r="F334" s="70" t="str">
        <f t="shared" si="7"/>
        <v>custom specs 82 Min</v>
      </c>
      <c r="G334" s="90"/>
      <c r="H334" s="90"/>
      <c r="I334" s="87"/>
      <c r="J334" s="71"/>
      <c r="K334" s="71"/>
      <c r="L334" s="71"/>
      <c r="M334" s="71"/>
      <c r="N334" s="71"/>
      <c r="O334" s="71"/>
      <c r="P334" s="71"/>
      <c r="Q334" s="71"/>
      <c r="R334" s="71"/>
      <c r="S334" s="71"/>
      <c r="T334" s="71"/>
      <c r="U334" s="342"/>
      <c r="V334" s="71"/>
      <c r="W334" s="71"/>
      <c r="X334" s="71"/>
      <c r="Y334" s="71"/>
      <c r="Z334" s="71"/>
      <c r="AA334" s="71"/>
      <c r="AB334" s="71"/>
      <c r="AC334" s="71"/>
      <c r="AD334" s="71"/>
      <c r="AE334" s="71"/>
      <c r="AF334" s="71"/>
      <c r="AG334" s="71"/>
      <c r="AH334" s="71"/>
      <c r="AI334" s="76"/>
    </row>
    <row r="335" spans="1:35">
      <c r="A335" s="59" t="s">
        <v>185</v>
      </c>
      <c r="B335" s="60" t="s">
        <v>186</v>
      </c>
      <c r="C335" s="78">
        <v>83</v>
      </c>
      <c r="D335" s="62" t="s">
        <v>27</v>
      </c>
      <c r="E335" s="63" t="str">
        <f>A335&amp;" "&amp;B335&amp;" "&amp;C335</f>
        <v>custom specs 83</v>
      </c>
      <c r="F335" s="63" t="str">
        <f t="shared" si="7"/>
        <v>custom specs 83 Max</v>
      </c>
      <c r="G335" s="89"/>
      <c r="H335" s="89"/>
      <c r="I335" s="86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341"/>
      <c r="V335" s="64"/>
      <c r="W335" s="64"/>
      <c r="X335" s="64"/>
      <c r="Y335" s="64"/>
      <c r="Z335" s="64"/>
      <c r="AA335" s="64"/>
      <c r="AB335" s="64"/>
      <c r="AC335" s="64"/>
      <c r="AD335" s="64"/>
      <c r="AE335" s="64"/>
      <c r="AF335" s="64"/>
      <c r="AG335" s="64"/>
      <c r="AH335" s="64"/>
      <c r="AI335" s="75"/>
    </row>
    <row r="336" spans="1:35">
      <c r="A336" s="65" t="s">
        <v>185</v>
      </c>
      <c r="B336" s="66" t="s">
        <v>186</v>
      </c>
      <c r="C336" s="79">
        <v>83</v>
      </c>
      <c r="D336" s="68" t="s">
        <v>26</v>
      </c>
      <c r="E336" s="69"/>
      <c r="F336" s="70" t="str">
        <f t="shared" si="7"/>
        <v>custom specs 83 Min</v>
      </c>
      <c r="G336" s="90"/>
      <c r="H336" s="90"/>
      <c r="I336" s="87"/>
      <c r="J336" s="71"/>
      <c r="K336" s="71"/>
      <c r="L336" s="71"/>
      <c r="M336" s="71"/>
      <c r="N336" s="71"/>
      <c r="O336" s="71"/>
      <c r="P336" s="71"/>
      <c r="Q336" s="71"/>
      <c r="R336" s="71"/>
      <c r="S336" s="71"/>
      <c r="T336" s="71"/>
      <c r="U336" s="342"/>
      <c r="V336" s="71"/>
      <c r="W336" s="71"/>
      <c r="X336" s="71"/>
      <c r="Y336" s="71"/>
      <c r="Z336" s="71"/>
      <c r="AA336" s="71"/>
      <c r="AB336" s="71"/>
      <c r="AC336" s="71"/>
      <c r="AD336" s="71"/>
      <c r="AE336" s="71"/>
      <c r="AF336" s="71"/>
      <c r="AG336" s="71"/>
      <c r="AH336" s="71"/>
      <c r="AI336" s="76"/>
    </row>
    <row r="337" spans="1:35">
      <c r="A337" s="59" t="s">
        <v>185</v>
      </c>
      <c r="B337" s="60" t="s">
        <v>186</v>
      </c>
      <c r="C337" s="78">
        <v>84</v>
      </c>
      <c r="D337" s="62" t="s">
        <v>27</v>
      </c>
      <c r="E337" s="63" t="str">
        <f>A337&amp;" "&amp;B337&amp;" "&amp;C337</f>
        <v>custom specs 84</v>
      </c>
      <c r="F337" s="63" t="str">
        <f t="shared" si="7"/>
        <v>custom specs 84 Max</v>
      </c>
      <c r="G337" s="89"/>
      <c r="H337" s="89"/>
      <c r="I337" s="86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341"/>
      <c r="V337" s="64"/>
      <c r="W337" s="64"/>
      <c r="X337" s="64"/>
      <c r="Y337" s="64"/>
      <c r="Z337" s="64"/>
      <c r="AA337" s="64"/>
      <c r="AB337" s="64"/>
      <c r="AC337" s="64"/>
      <c r="AD337" s="64"/>
      <c r="AE337" s="64"/>
      <c r="AF337" s="64"/>
      <c r="AG337" s="64"/>
      <c r="AH337" s="64"/>
      <c r="AI337" s="75"/>
    </row>
    <row r="338" spans="1:35">
      <c r="A338" s="65" t="s">
        <v>185</v>
      </c>
      <c r="B338" s="66" t="s">
        <v>186</v>
      </c>
      <c r="C338" s="79">
        <v>84</v>
      </c>
      <c r="D338" s="68" t="s">
        <v>26</v>
      </c>
      <c r="E338" s="69"/>
      <c r="F338" s="70" t="str">
        <f t="shared" si="7"/>
        <v>custom specs 84 Min</v>
      </c>
      <c r="G338" s="90"/>
      <c r="H338" s="90"/>
      <c r="I338" s="87"/>
      <c r="J338" s="71"/>
      <c r="K338" s="71"/>
      <c r="L338" s="71"/>
      <c r="M338" s="71"/>
      <c r="N338" s="71"/>
      <c r="O338" s="71"/>
      <c r="P338" s="71"/>
      <c r="Q338" s="71"/>
      <c r="R338" s="71"/>
      <c r="S338" s="71"/>
      <c r="T338" s="71"/>
      <c r="U338" s="342"/>
      <c r="V338" s="71"/>
      <c r="W338" s="71"/>
      <c r="X338" s="71"/>
      <c r="Y338" s="71"/>
      <c r="Z338" s="71"/>
      <c r="AA338" s="71"/>
      <c r="AB338" s="71"/>
      <c r="AC338" s="71"/>
      <c r="AD338" s="71"/>
      <c r="AE338" s="71"/>
      <c r="AF338" s="71"/>
      <c r="AG338" s="71"/>
      <c r="AH338" s="71"/>
      <c r="AI338" s="76"/>
    </row>
    <row r="339" spans="1:35">
      <c r="A339" s="59" t="s">
        <v>185</v>
      </c>
      <c r="B339" s="60" t="s">
        <v>186</v>
      </c>
      <c r="C339" s="78">
        <v>85</v>
      </c>
      <c r="D339" s="62" t="s">
        <v>27</v>
      </c>
      <c r="E339" s="63" t="str">
        <f>A339&amp;" "&amp;B339&amp;" "&amp;C339</f>
        <v>custom specs 85</v>
      </c>
      <c r="F339" s="63" t="str">
        <f t="shared" si="7"/>
        <v>custom specs 85 Max</v>
      </c>
      <c r="G339" s="89"/>
      <c r="H339" s="89"/>
      <c r="I339" s="86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341"/>
      <c r="V339" s="64"/>
      <c r="W339" s="64"/>
      <c r="X339" s="64"/>
      <c r="Y339" s="64"/>
      <c r="Z339" s="64"/>
      <c r="AA339" s="64"/>
      <c r="AB339" s="64"/>
      <c r="AC339" s="64"/>
      <c r="AD339" s="64"/>
      <c r="AE339" s="64"/>
      <c r="AF339" s="64"/>
      <c r="AG339" s="64"/>
      <c r="AH339" s="64"/>
      <c r="AI339" s="75"/>
    </row>
    <row r="340" spans="1:35">
      <c r="A340" s="65" t="s">
        <v>185</v>
      </c>
      <c r="B340" s="66" t="s">
        <v>186</v>
      </c>
      <c r="C340" s="79">
        <v>85</v>
      </c>
      <c r="D340" s="68" t="s">
        <v>26</v>
      </c>
      <c r="E340" s="69"/>
      <c r="F340" s="70" t="str">
        <f t="shared" si="7"/>
        <v>custom specs 85 Min</v>
      </c>
      <c r="G340" s="90"/>
      <c r="H340" s="90"/>
      <c r="I340" s="87"/>
      <c r="J340" s="71"/>
      <c r="K340" s="71"/>
      <c r="L340" s="71"/>
      <c r="M340" s="71"/>
      <c r="N340" s="71"/>
      <c r="O340" s="71"/>
      <c r="P340" s="71"/>
      <c r="Q340" s="71"/>
      <c r="R340" s="71"/>
      <c r="S340" s="71"/>
      <c r="T340" s="71"/>
      <c r="U340" s="342"/>
      <c r="V340" s="71"/>
      <c r="W340" s="71"/>
      <c r="X340" s="71"/>
      <c r="Y340" s="71"/>
      <c r="Z340" s="71"/>
      <c r="AA340" s="71"/>
      <c r="AB340" s="71"/>
      <c r="AC340" s="71"/>
      <c r="AD340" s="71"/>
      <c r="AE340" s="71"/>
      <c r="AF340" s="71"/>
      <c r="AG340" s="71"/>
      <c r="AH340" s="71"/>
      <c r="AI340" s="76"/>
    </row>
    <row r="341" spans="1:35">
      <c r="A341" s="59" t="s">
        <v>185</v>
      </c>
      <c r="B341" s="60" t="s">
        <v>186</v>
      </c>
      <c r="C341" s="78">
        <v>86</v>
      </c>
      <c r="D341" s="62" t="s">
        <v>27</v>
      </c>
      <c r="E341" s="63" t="str">
        <f>A341&amp;" "&amp;B341&amp;" "&amp;C341</f>
        <v>custom specs 86</v>
      </c>
      <c r="F341" s="63" t="str">
        <f t="shared" si="7"/>
        <v>custom specs 86 Max</v>
      </c>
      <c r="G341" s="89"/>
      <c r="H341" s="89"/>
      <c r="I341" s="86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341"/>
      <c r="V341" s="64"/>
      <c r="W341" s="64"/>
      <c r="X341" s="64"/>
      <c r="Y341" s="64"/>
      <c r="Z341" s="64"/>
      <c r="AA341" s="64"/>
      <c r="AB341" s="64"/>
      <c r="AC341" s="64"/>
      <c r="AD341" s="64"/>
      <c r="AE341" s="64"/>
      <c r="AF341" s="64"/>
      <c r="AG341" s="64"/>
      <c r="AH341" s="64"/>
      <c r="AI341" s="75"/>
    </row>
    <row r="342" spans="1:35">
      <c r="A342" s="65" t="s">
        <v>185</v>
      </c>
      <c r="B342" s="66" t="s">
        <v>186</v>
      </c>
      <c r="C342" s="79">
        <v>86</v>
      </c>
      <c r="D342" s="68" t="s">
        <v>26</v>
      </c>
      <c r="E342" s="69"/>
      <c r="F342" s="70" t="str">
        <f t="shared" si="7"/>
        <v>custom specs 86 Min</v>
      </c>
      <c r="G342" s="90"/>
      <c r="H342" s="90"/>
      <c r="I342" s="87"/>
      <c r="J342" s="71"/>
      <c r="K342" s="71"/>
      <c r="L342" s="71"/>
      <c r="M342" s="71"/>
      <c r="N342" s="71"/>
      <c r="O342" s="71"/>
      <c r="P342" s="71"/>
      <c r="Q342" s="71"/>
      <c r="R342" s="71"/>
      <c r="S342" s="71"/>
      <c r="T342" s="71"/>
      <c r="U342" s="342"/>
      <c r="V342" s="71"/>
      <c r="W342" s="71"/>
      <c r="X342" s="71"/>
      <c r="Y342" s="71"/>
      <c r="Z342" s="71"/>
      <c r="AA342" s="71"/>
      <c r="AB342" s="71"/>
      <c r="AC342" s="71"/>
      <c r="AD342" s="71"/>
      <c r="AE342" s="71"/>
      <c r="AF342" s="71"/>
      <c r="AG342" s="71"/>
      <c r="AH342" s="71"/>
      <c r="AI342" s="76"/>
    </row>
    <row r="343" spans="1:35">
      <c r="A343" s="59" t="s">
        <v>185</v>
      </c>
      <c r="B343" s="60" t="s">
        <v>186</v>
      </c>
      <c r="C343" s="78">
        <v>87</v>
      </c>
      <c r="D343" s="62" t="s">
        <v>27</v>
      </c>
      <c r="E343" s="63" t="str">
        <f>A343&amp;" "&amp;B343&amp;" "&amp;C343</f>
        <v>custom specs 87</v>
      </c>
      <c r="F343" s="63" t="str">
        <f t="shared" si="7"/>
        <v>custom specs 87 Max</v>
      </c>
      <c r="G343" s="89"/>
      <c r="H343" s="89"/>
      <c r="I343" s="86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341"/>
      <c r="V343" s="64"/>
      <c r="W343" s="64"/>
      <c r="X343" s="64"/>
      <c r="Y343" s="64"/>
      <c r="Z343" s="64"/>
      <c r="AA343" s="64"/>
      <c r="AB343" s="64"/>
      <c r="AC343" s="64"/>
      <c r="AD343" s="64"/>
      <c r="AE343" s="64"/>
      <c r="AF343" s="64"/>
      <c r="AG343" s="64"/>
      <c r="AH343" s="64"/>
      <c r="AI343" s="75"/>
    </row>
    <row r="344" spans="1:35">
      <c r="A344" s="65" t="s">
        <v>185</v>
      </c>
      <c r="B344" s="66" t="s">
        <v>186</v>
      </c>
      <c r="C344" s="79">
        <v>87</v>
      </c>
      <c r="D344" s="68" t="s">
        <v>26</v>
      </c>
      <c r="E344" s="69"/>
      <c r="F344" s="70" t="str">
        <f t="shared" si="7"/>
        <v>custom specs 87 Min</v>
      </c>
      <c r="G344" s="90"/>
      <c r="H344" s="90"/>
      <c r="I344" s="87"/>
      <c r="J344" s="71"/>
      <c r="K344" s="71"/>
      <c r="L344" s="71"/>
      <c r="M344" s="71"/>
      <c r="N344" s="71"/>
      <c r="O344" s="71"/>
      <c r="P344" s="71"/>
      <c r="Q344" s="71"/>
      <c r="R344" s="71"/>
      <c r="S344" s="71"/>
      <c r="T344" s="71"/>
      <c r="U344" s="342"/>
      <c r="V344" s="71"/>
      <c r="W344" s="71"/>
      <c r="X344" s="71"/>
      <c r="Y344" s="71"/>
      <c r="Z344" s="71"/>
      <c r="AA344" s="71"/>
      <c r="AB344" s="71"/>
      <c r="AC344" s="71"/>
      <c r="AD344" s="71"/>
      <c r="AE344" s="71"/>
      <c r="AF344" s="71"/>
      <c r="AG344" s="71"/>
      <c r="AH344" s="71"/>
      <c r="AI344" s="76"/>
    </row>
    <row r="345" spans="1:35">
      <c r="A345" s="59" t="s">
        <v>185</v>
      </c>
      <c r="B345" s="60" t="s">
        <v>186</v>
      </c>
      <c r="C345" s="78">
        <v>88</v>
      </c>
      <c r="D345" s="62" t="s">
        <v>27</v>
      </c>
      <c r="E345" s="63" t="str">
        <f>A345&amp;" "&amp;B345&amp;" "&amp;C345</f>
        <v>custom specs 88</v>
      </c>
      <c r="F345" s="63" t="str">
        <f t="shared" si="7"/>
        <v>custom specs 88 Max</v>
      </c>
      <c r="G345" s="89"/>
      <c r="H345" s="89"/>
      <c r="I345" s="86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341"/>
      <c r="V345" s="64"/>
      <c r="W345" s="64"/>
      <c r="X345" s="64"/>
      <c r="Y345" s="64"/>
      <c r="Z345" s="64"/>
      <c r="AA345" s="64"/>
      <c r="AB345" s="64"/>
      <c r="AC345" s="64"/>
      <c r="AD345" s="64"/>
      <c r="AE345" s="64"/>
      <c r="AF345" s="64"/>
      <c r="AG345" s="64"/>
      <c r="AH345" s="64"/>
      <c r="AI345" s="75"/>
    </row>
    <row r="346" spans="1:35">
      <c r="A346" s="65" t="s">
        <v>185</v>
      </c>
      <c r="B346" s="66" t="s">
        <v>186</v>
      </c>
      <c r="C346" s="79">
        <v>88</v>
      </c>
      <c r="D346" s="68" t="s">
        <v>26</v>
      </c>
      <c r="E346" s="69"/>
      <c r="F346" s="70" t="str">
        <f t="shared" si="7"/>
        <v>custom specs 88 Min</v>
      </c>
      <c r="G346" s="90"/>
      <c r="H346" s="90"/>
      <c r="I346" s="87"/>
      <c r="J346" s="71"/>
      <c r="K346" s="71"/>
      <c r="L346" s="71"/>
      <c r="M346" s="71"/>
      <c r="N346" s="71"/>
      <c r="O346" s="71"/>
      <c r="P346" s="71"/>
      <c r="Q346" s="71"/>
      <c r="R346" s="71"/>
      <c r="S346" s="71"/>
      <c r="T346" s="71"/>
      <c r="U346" s="342"/>
      <c r="V346" s="71"/>
      <c r="W346" s="71"/>
      <c r="X346" s="71"/>
      <c r="Y346" s="71"/>
      <c r="Z346" s="71"/>
      <c r="AA346" s="71"/>
      <c r="AB346" s="71"/>
      <c r="AC346" s="71"/>
      <c r="AD346" s="71"/>
      <c r="AE346" s="71"/>
      <c r="AF346" s="71"/>
      <c r="AG346" s="71"/>
      <c r="AH346" s="71"/>
      <c r="AI346" s="76"/>
    </row>
    <row r="347" spans="1:35">
      <c r="A347" s="59" t="s">
        <v>185</v>
      </c>
      <c r="B347" s="60" t="s">
        <v>186</v>
      </c>
      <c r="C347" s="78">
        <v>89</v>
      </c>
      <c r="D347" s="62" t="s">
        <v>27</v>
      </c>
      <c r="E347" s="63" t="str">
        <f>A347&amp;" "&amp;B347&amp;" "&amp;C347</f>
        <v>custom specs 89</v>
      </c>
      <c r="F347" s="63" t="str">
        <f t="shared" si="7"/>
        <v>custom specs 89 Max</v>
      </c>
      <c r="G347" s="89"/>
      <c r="H347" s="89"/>
      <c r="I347" s="86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341"/>
      <c r="V347" s="64"/>
      <c r="W347" s="64"/>
      <c r="X347" s="64"/>
      <c r="Y347" s="64"/>
      <c r="Z347" s="64"/>
      <c r="AA347" s="64"/>
      <c r="AB347" s="64"/>
      <c r="AC347" s="64"/>
      <c r="AD347" s="64"/>
      <c r="AE347" s="64"/>
      <c r="AF347" s="64"/>
      <c r="AG347" s="64"/>
      <c r="AH347" s="64"/>
      <c r="AI347" s="75"/>
    </row>
    <row r="348" spans="1:35">
      <c r="A348" s="65" t="s">
        <v>185</v>
      </c>
      <c r="B348" s="66" t="s">
        <v>186</v>
      </c>
      <c r="C348" s="79">
        <v>89</v>
      </c>
      <c r="D348" s="68" t="s">
        <v>26</v>
      </c>
      <c r="E348" s="69"/>
      <c r="F348" s="70" t="str">
        <f t="shared" si="7"/>
        <v>custom specs 89 Min</v>
      </c>
      <c r="G348" s="90"/>
      <c r="H348" s="90"/>
      <c r="I348" s="87"/>
      <c r="J348" s="71"/>
      <c r="K348" s="71"/>
      <c r="L348" s="71"/>
      <c r="M348" s="71"/>
      <c r="N348" s="71"/>
      <c r="O348" s="71"/>
      <c r="P348" s="71"/>
      <c r="Q348" s="71"/>
      <c r="R348" s="71"/>
      <c r="S348" s="71"/>
      <c r="T348" s="71"/>
      <c r="U348" s="342"/>
      <c r="V348" s="71"/>
      <c r="W348" s="71"/>
      <c r="X348" s="71"/>
      <c r="Y348" s="71"/>
      <c r="Z348" s="71"/>
      <c r="AA348" s="71"/>
      <c r="AB348" s="71"/>
      <c r="AC348" s="71"/>
      <c r="AD348" s="71"/>
      <c r="AE348" s="71"/>
      <c r="AF348" s="71"/>
      <c r="AG348" s="71"/>
      <c r="AH348" s="71"/>
      <c r="AI348" s="76"/>
    </row>
    <row r="349" spans="1:35">
      <c r="A349" s="59" t="s">
        <v>185</v>
      </c>
      <c r="B349" s="60" t="s">
        <v>186</v>
      </c>
      <c r="C349" s="78">
        <v>90</v>
      </c>
      <c r="D349" s="62" t="s">
        <v>27</v>
      </c>
      <c r="E349" s="63" t="str">
        <f>A349&amp;" "&amp;B349&amp;" "&amp;C349</f>
        <v>custom specs 90</v>
      </c>
      <c r="F349" s="63" t="str">
        <f t="shared" si="7"/>
        <v>custom specs 90 Max</v>
      </c>
      <c r="G349" s="89"/>
      <c r="H349" s="89"/>
      <c r="I349" s="86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341"/>
      <c r="V349" s="64"/>
      <c r="W349" s="64"/>
      <c r="X349" s="64"/>
      <c r="Y349" s="64"/>
      <c r="Z349" s="64"/>
      <c r="AA349" s="64"/>
      <c r="AB349" s="64"/>
      <c r="AC349" s="64"/>
      <c r="AD349" s="64"/>
      <c r="AE349" s="64"/>
      <c r="AF349" s="64"/>
      <c r="AG349" s="64"/>
      <c r="AH349" s="64"/>
      <c r="AI349" s="75"/>
    </row>
    <row r="350" spans="1:35">
      <c r="A350" s="65" t="s">
        <v>185</v>
      </c>
      <c r="B350" s="66" t="s">
        <v>186</v>
      </c>
      <c r="C350" s="79">
        <v>90</v>
      </c>
      <c r="D350" s="68" t="s">
        <v>26</v>
      </c>
      <c r="E350" s="69"/>
      <c r="F350" s="70" t="str">
        <f t="shared" si="7"/>
        <v>custom specs 90 Min</v>
      </c>
      <c r="G350" s="90"/>
      <c r="H350" s="90"/>
      <c r="I350" s="87"/>
      <c r="J350" s="71"/>
      <c r="K350" s="71"/>
      <c r="L350" s="71"/>
      <c r="M350" s="71"/>
      <c r="N350" s="71"/>
      <c r="O350" s="71"/>
      <c r="P350" s="71"/>
      <c r="Q350" s="71"/>
      <c r="R350" s="71"/>
      <c r="S350" s="71"/>
      <c r="T350" s="71"/>
      <c r="U350" s="342"/>
      <c r="V350" s="71"/>
      <c r="W350" s="71"/>
      <c r="X350" s="71"/>
      <c r="Y350" s="71"/>
      <c r="Z350" s="71"/>
      <c r="AA350" s="71"/>
      <c r="AB350" s="71"/>
      <c r="AC350" s="71"/>
      <c r="AD350" s="71"/>
      <c r="AE350" s="71"/>
      <c r="AF350" s="71"/>
      <c r="AG350" s="71"/>
      <c r="AH350" s="71"/>
      <c r="AI350" s="76"/>
    </row>
    <row r="351" spans="1:35">
      <c r="A351" s="59" t="s">
        <v>185</v>
      </c>
      <c r="B351" s="60" t="s">
        <v>186</v>
      </c>
      <c r="C351" s="78">
        <v>91</v>
      </c>
      <c r="D351" s="62" t="s">
        <v>27</v>
      </c>
      <c r="E351" s="63" t="str">
        <f>A351&amp;" "&amp;B351&amp;" "&amp;C351</f>
        <v>custom specs 91</v>
      </c>
      <c r="F351" s="63" t="str">
        <f t="shared" si="7"/>
        <v>custom specs 91 Max</v>
      </c>
      <c r="G351" s="89"/>
      <c r="H351" s="89"/>
      <c r="I351" s="86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341"/>
      <c r="V351" s="64"/>
      <c r="W351" s="64"/>
      <c r="X351" s="64"/>
      <c r="Y351" s="64"/>
      <c r="Z351" s="64"/>
      <c r="AA351" s="64"/>
      <c r="AB351" s="64"/>
      <c r="AC351" s="64"/>
      <c r="AD351" s="64"/>
      <c r="AE351" s="64"/>
      <c r="AF351" s="64"/>
      <c r="AG351" s="64"/>
      <c r="AH351" s="64"/>
      <c r="AI351" s="75"/>
    </row>
    <row r="352" spans="1:35">
      <c r="A352" s="65" t="s">
        <v>185</v>
      </c>
      <c r="B352" s="66" t="s">
        <v>186</v>
      </c>
      <c r="C352" s="79">
        <v>91</v>
      </c>
      <c r="D352" s="68" t="s">
        <v>26</v>
      </c>
      <c r="E352" s="69"/>
      <c r="F352" s="70" t="str">
        <f t="shared" si="7"/>
        <v>custom specs 91 Min</v>
      </c>
      <c r="G352" s="90"/>
      <c r="H352" s="90"/>
      <c r="I352" s="87"/>
      <c r="J352" s="71"/>
      <c r="K352" s="71"/>
      <c r="L352" s="71"/>
      <c r="M352" s="71"/>
      <c r="N352" s="71"/>
      <c r="O352" s="71"/>
      <c r="P352" s="71"/>
      <c r="Q352" s="71"/>
      <c r="R352" s="71"/>
      <c r="S352" s="71"/>
      <c r="T352" s="71"/>
      <c r="U352" s="342"/>
      <c r="V352" s="71"/>
      <c r="W352" s="71"/>
      <c r="X352" s="71"/>
      <c r="Y352" s="71"/>
      <c r="Z352" s="71"/>
      <c r="AA352" s="71"/>
      <c r="AB352" s="71"/>
      <c r="AC352" s="71"/>
      <c r="AD352" s="71"/>
      <c r="AE352" s="71"/>
      <c r="AF352" s="71"/>
      <c r="AG352" s="71"/>
      <c r="AH352" s="71"/>
      <c r="AI352" s="76"/>
    </row>
    <row r="353" spans="1:35">
      <c r="A353" s="59" t="s">
        <v>185</v>
      </c>
      <c r="B353" s="60" t="s">
        <v>186</v>
      </c>
      <c r="C353" s="78">
        <v>92</v>
      </c>
      <c r="D353" s="62" t="s">
        <v>27</v>
      </c>
      <c r="E353" s="63" t="str">
        <f>A353&amp;" "&amp;B353&amp;" "&amp;C353</f>
        <v>custom specs 92</v>
      </c>
      <c r="F353" s="63" t="str">
        <f t="shared" si="7"/>
        <v>custom specs 92 Max</v>
      </c>
      <c r="G353" s="89"/>
      <c r="H353" s="89"/>
      <c r="I353" s="86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341"/>
      <c r="V353" s="64"/>
      <c r="W353" s="64"/>
      <c r="X353" s="64"/>
      <c r="Y353" s="64"/>
      <c r="Z353" s="64"/>
      <c r="AA353" s="64"/>
      <c r="AB353" s="64"/>
      <c r="AC353" s="64"/>
      <c r="AD353" s="64"/>
      <c r="AE353" s="64"/>
      <c r="AF353" s="64"/>
      <c r="AG353" s="64"/>
      <c r="AH353" s="64"/>
      <c r="AI353" s="75"/>
    </row>
    <row r="354" spans="1:35">
      <c r="A354" s="65" t="s">
        <v>185</v>
      </c>
      <c r="B354" s="66" t="s">
        <v>186</v>
      </c>
      <c r="C354" s="79">
        <v>92</v>
      </c>
      <c r="D354" s="68" t="s">
        <v>26</v>
      </c>
      <c r="E354" s="69"/>
      <c r="F354" s="70" t="str">
        <f t="shared" si="7"/>
        <v>custom specs 92 Min</v>
      </c>
      <c r="G354" s="90"/>
      <c r="H354" s="90"/>
      <c r="I354" s="87"/>
      <c r="J354" s="71"/>
      <c r="K354" s="71"/>
      <c r="L354" s="71"/>
      <c r="M354" s="71"/>
      <c r="N354" s="71"/>
      <c r="O354" s="71"/>
      <c r="P354" s="71"/>
      <c r="Q354" s="71"/>
      <c r="R354" s="71"/>
      <c r="S354" s="71"/>
      <c r="T354" s="71"/>
      <c r="U354" s="342"/>
      <c r="V354" s="71"/>
      <c r="W354" s="71"/>
      <c r="X354" s="71"/>
      <c r="Y354" s="71"/>
      <c r="Z354" s="71"/>
      <c r="AA354" s="71"/>
      <c r="AB354" s="71"/>
      <c r="AC354" s="71"/>
      <c r="AD354" s="71"/>
      <c r="AE354" s="71"/>
      <c r="AF354" s="71"/>
      <c r="AG354" s="71"/>
      <c r="AH354" s="71"/>
      <c r="AI354" s="76"/>
    </row>
    <row r="355" spans="1:35">
      <c r="A355" s="59" t="s">
        <v>185</v>
      </c>
      <c r="B355" s="60" t="s">
        <v>186</v>
      </c>
      <c r="C355" s="78">
        <v>93</v>
      </c>
      <c r="D355" s="62" t="s">
        <v>27</v>
      </c>
      <c r="E355" s="63" t="str">
        <f>A355&amp;" "&amp;B355&amp;" "&amp;C355</f>
        <v>custom specs 93</v>
      </c>
      <c r="F355" s="63" t="str">
        <f t="shared" si="7"/>
        <v>custom specs 93 Max</v>
      </c>
      <c r="G355" s="89"/>
      <c r="H355" s="89"/>
      <c r="I355" s="86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341"/>
      <c r="V355" s="64"/>
      <c r="W355" s="64"/>
      <c r="X355" s="64"/>
      <c r="Y355" s="64"/>
      <c r="Z355" s="64"/>
      <c r="AA355" s="64"/>
      <c r="AB355" s="64"/>
      <c r="AC355" s="64"/>
      <c r="AD355" s="64"/>
      <c r="AE355" s="64"/>
      <c r="AF355" s="64"/>
      <c r="AG355" s="64"/>
      <c r="AH355" s="64"/>
      <c r="AI355" s="75"/>
    </row>
    <row r="356" spans="1:35">
      <c r="A356" s="65" t="s">
        <v>185</v>
      </c>
      <c r="B356" s="66" t="s">
        <v>186</v>
      </c>
      <c r="C356" s="79">
        <v>93</v>
      </c>
      <c r="D356" s="68" t="s">
        <v>26</v>
      </c>
      <c r="E356" s="69"/>
      <c r="F356" s="70" t="str">
        <f t="shared" si="7"/>
        <v>custom specs 93 Min</v>
      </c>
      <c r="G356" s="90"/>
      <c r="H356" s="90"/>
      <c r="I356" s="87"/>
      <c r="J356" s="71"/>
      <c r="K356" s="71"/>
      <c r="L356" s="71"/>
      <c r="M356" s="71"/>
      <c r="N356" s="71"/>
      <c r="O356" s="71"/>
      <c r="P356" s="71"/>
      <c r="Q356" s="71"/>
      <c r="R356" s="71"/>
      <c r="S356" s="71"/>
      <c r="T356" s="71"/>
      <c r="U356" s="342"/>
      <c r="V356" s="71"/>
      <c r="W356" s="71"/>
      <c r="X356" s="71"/>
      <c r="Y356" s="71"/>
      <c r="Z356" s="71"/>
      <c r="AA356" s="71"/>
      <c r="AB356" s="71"/>
      <c r="AC356" s="71"/>
      <c r="AD356" s="71"/>
      <c r="AE356" s="71"/>
      <c r="AF356" s="71"/>
      <c r="AG356" s="71"/>
      <c r="AH356" s="71"/>
      <c r="AI356" s="76"/>
    </row>
    <row r="357" spans="1:35">
      <c r="A357" s="59" t="s">
        <v>185</v>
      </c>
      <c r="B357" s="60" t="s">
        <v>186</v>
      </c>
      <c r="C357" s="78">
        <v>94</v>
      </c>
      <c r="D357" s="62" t="s">
        <v>27</v>
      </c>
      <c r="E357" s="63" t="str">
        <f>A357&amp;" "&amp;B357&amp;" "&amp;C357</f>
        <v>custom specs 94</v>
      </c>
      <c r="F357" s="63" t="str">
        <f t="shared" si="7"/>
        <v>custom specs 94 Max</v>
      </c>
      <c r="G357" s="89"/>
      <c r="H357" s="89"/>
      <c r="I357" s="86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341"/>
      <c r="V357" s="64"/>
      <c r="W357" s="64"/>
      <c r="X357" s="64"/>
      <c r="Y357" s="64"/>
      <c r="Z357" s="64"/>
      <c r="AA357" s="64"/>
      <c r="AB357" s="64"/>
      <c r="AC357" s="64"/>
      <c r="AD357" s="64"/>
      <c r="AE357" s="64"/>
      <c r="AF357" s="64"/>
      <c r="AG357" s="64"/>
      <c r="AH357" s="64"/>
      <c r="AI357" s="75"/>
    </row>
    <row r="358" spans="1:35">
      <c r="A358" s="65" t="s">
        <v>185</v>
      </c>
      <c r="B358" s="66" t="s">
        <v>186</v>
      </c>
      <c r="C358" s="79">
        <v>94</v>
      </c>
      <c r="D358" s="68" t="s">
        <v>26</v>
      </c>
      <c r="E358" s="69"/>
      <c r="F358" s="70" t="str">
        <f t="shared" si="7"/>
        <v>custom specs 94 Min</v>
      </c>
      <c r="G358" s="90"/>
      <c r="H358" s="90"/>
      <c r="I358" s="87"/>
      <c r="J358" s="71"/>
      <c r="K358" s="71"/>
      <c r="L358" s="71"/>
      <c r="M358" s="71"/>
      <c r="N358" s="71"/>
      <c r="O358" s="71"/>
      <c r="P358" s="71"/>
      <c r="Q358" s="71"/>
      <c r="R358" s="71"/>
      <c r="S358" s="71"/>
      <c r="T358" s="71"/>
      <c r="U358" s="342"/>
      <c r="V358" s="71"/>
      <c r="W358" s="71"/>
      <c r="X358" s="71"/>
      <c r="Y358" s="71"/>
      <c r="Z358" s="71"/>
      <c r="AA358" s="71"/>
      <c r="AB358" s="71"/>
      <c r="AC358" s="71"/>
      <c r="AD358" s="71"/>
      <c r="AE358" s="71"/>
      <c r="AF358" s="71"/>
      <c r="AG358" s="71"/>
      <c r="AH358" s="71"/>
      <c r="AI358" s="76"/>
    </row>
    <row r="359" spans="1:35">
      <c r="A359" s="59" t="s">
        <v>185</v>
      </c>
      <c r="B359" s="60" t="s">
        <v>186</v>
      </c>
      <c r="C359" s="78">
        <v>95</v>
      </c>
      <c r="D359" s="62" t="s">
        <v>27</v>
      </c>
      <c r="E359" s="63" t="str">
        <f>A359&amp;" "&amp;B359&amp;" "&amp;C359</f>
        <v>custom specs 95</v>
      </c>
      <c r="F359" s="63" t="str">
        <f t="shared" si="7"/>
        <v>custom specs 95 Max</v>
      </c>
      <c r="G359" s="89"/>
      <c r="H359" s="89"/>
      <c r="I359" s="86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341"/>
      <c r="V359" s="64"/>
      <c r="W359" s="64"/>
      <c r="X359" s="64"/>
      <c r="Y359" s="64"/>
      <c r="Z359" s="64"/>
      <c r="AA359" s="64"/>
      <c r="AB359" s="64"/>
      <c r="AC359" s="64"/>
      <c r="AD359" s="64"/>
      <c r="AE359" s="64"/>
      <c r="AF359" s="64"/>
      <c r="AG359" s="64"/>
      <c r="AH359" s="64"/>
      <c r="AI359" s="75"/>
    </row>
    <row r="360" spans="1:35">
      <c r="A360" s="65" t="s">
        <v>185</v>
      </c>
      <c r="B360" s="66" t="s">
        <v>186</v>
      </c>
      <c r="C360" s="79">
        <v>95</v>
      </c>
      <c r="D360" s="68" t="s">
        <v>26</v>
      </c>
      <c r="E360" s="69"/>
      <c r="F360" s="70" t="str">
        <f t="shared" si="7"/>
        <v>custom specs 95 Min</v>
      </c>
      <c r="G360" s="90"/>
      <c r="H360" s="90"/>
      <c r="I360" s="87"/>
      <c r="J360" s="71"/>
      <c r="K360" s="71"/>
      <c r="L360" s="71"/>
      <c r="M360" s="71"/>
      <c r="N360" s="71"/>
      <c r="O360" s="71"/>
      <c r="P360" s="71"/>
      <c r="Q360" s="71"/>
      <c r="R360" s="71"/>
      <c r="S360" s="71"/>
      <c r="T360" s="71"/>
      <c r="U360" s="342"/>
      <c r="V360" s="71"/>
      <c r="W360" s="71"/>
      <c r="X360" s="71"/>
      <c r="Y360" s="71"/>
      <c r="Z360" s="71"/>
      <c r="AA360" s="71"/>
      <c r="AB360" s="71"/>
      <c r="AC360" s="71"/>
      <c r="AD360" s="71"/>
      <c r="AE360" s="71"/>
      <c r="AF360" s="71"/>
      <c r="AG360" s="71"/>
      <c r="AH360" s="71"/>
      <c r="AI360" s="76"/>
    </row>
    <row r="361" spans="1:35">
      <c r="A361" s="59" t="s">
        <v>185</v>
      </c>
      <c r="B361" s="60" t="s">
        <v>186</v>
      </c>
      <c r="C361" s="78">
        <v>96</v>
      </c>
      <c r="D361" s="62" t="s">
        <v>27</v>
      </c>
      <c r="E361" s="63" t="str">
        <f>A361&amp;" "&amp;B361&amp;" "&amp;C361</f>
        <v>custom specs 96</v>
      </c>
      <c r="F361" s="63" t="str">
        <f t="shared" si="7"/>
        <v>custom specs 96 Max</v>
      </c>
      <c r="G361" s="89"/>
      <c r="H361" s="89"/>
      <c r="I361" s="86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341"/>
      <c r="V361" s="64"/>
      <c r="W361" s="64"/>
      <c r="X361" s="64"/>
      <c r="Y361" s="64"/>
      <c r="Z361" s="64"/>
      <c r="AA361" s="64"/>
      <c r="AB361" s="64"/>
      <c r="AC361" s="64"/>
      <c r="AD361" s="64"/>
      <c r="AE361" s="64"/>
      <c r="AF361" s="64"/>
      <c r="AG361" s="64"/>
      <c r="AH361" s="64"/>
      <c r="AI361" s="75"/>
    </row>
    <row r="362" spans="1:35">
      <c r="A362" s="65" t="s">
        <v>185</v>
      </c>
      <c r="B362" s="66" t="s">
        <v>186</v>
      </c>
      <c r="C362" s="79">
        <v>96</v>
      </c>
      <c r="D362" s="68" t="s">
        <v>26</v>
      </c>
      <c r="E362" s="69"/>
      <c r="F362" s="70" t="str">
        <f t="shared" si="7"/>
        <v>custom specs 96 Min</v>
      </c>
      <c r="G362" s="90"/>
      <c r="H362" s="90"/>
      <c r="I362" s="87"/>
      <c r="J362" s="71"/>
      <c r="K362" s="71"/>
      <c r="L362" s="71"/>
      <c r="M362" s="71"/>
      <c r="N362" s="71"/>
      <c r="O362" s="71"/>
      <c r="P362" s="71"/>
      <c r="Q362" s="71"/>
      <c r="R362" s="71"/>
      <c r="S362" s="71"/>
      <c r="T362" s="71"/>
      <c r="U362" s="342"/>
      <c r="V362" s="71"/>
      <c r="W362" s="71"/>
      <c r="X362" s="71"/>
      <c r="Y362" s="71"/>
      <c r="Z362" s="71"/>
      <c r="AA362" s="71"/>
      <c r="AB362" s="71"/>
      <c r="AC362" s="71"/>
      <c r="AD362" s="71"/>
      <c r="AE362" s="71"/>
      <c r="AF362" s="71"/>
      <c r="AG362" s="71"/>
      <c r="AH362" s="71"/>
      <c r="AI362" s="76"/>
    </row>
    <row r="363" spans="1:35">
      <c r="A363" s="59" t="s">
        <v>185</v>
      </c>
      <c r="B363" s="60" t="s">
        <v>186</v>
      </c>
      <c r="C363" s="78">
        <v>97</v>
      </c>
      <c r="D363" s="62" t="s">
        <v>27</v>
      </c>
      <c r="E363" s="63" t="str">
        <f>A363&amp;" "&amp;B363&amp;" "&amp;C363</f>
        <v>custom specs 97</v>
      </c>
      <c r="F363" s="63" t="str">
        <f t="shared" si="7"/>
        <v>custom specs 97 Max</v>
      </c>
      <c r="G363" s="89"/>
      <c r="H363" s="89"/>
      <c r="I363" s="86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341"/>
      <c r="V363" s="64"/>
      <c r="W363" s="64"/>
      <c r="X363" s="64"/>
      <c r="Y363" s="64"/>
      <c r="Z363" s="64"/>
      <c r="AA363" s="64"/>
      <c r="AB363" s="64"/>
      <c r="AC363" s="64"/>
      <c r="AD363" s="64"/>
      <c r="AE363" s="64"/>
      <c r="AF363" s="64"/>
      <c r="AG363" s="64"/>
      <c r="AH363" s="64"/>
      <c r="AI363" s="75"/>
    </row>
    <row r="364" spans="1:35">
      <c r="A364" s="65" t="s">
        <v>185</v>
      </c>
      <c r="B364" s="66" t="s">
        <v>186</v>
      </c>
      <c r="C364" s="79">
        <v>97</v>
      </c>
      <c r="D364" s="68" t="s">
        <v>26</v>
      </c>
      <c r="E364" s="69"/>
      <c r="F364" s="70" t="str">
        <f t="shared" si="7"/>
        <v>custom specs 97 Min</v>
      </c>
      <c r="G364" s="90"/>
      <c r="H364" s="90"/>
      <c r="I364" s="87"/>
      <c r="J364" s="71"/>
      <c r="K364" s="71"/>
      <c r="L364" s="71"/>
      <c r="M364" s="71"/>
      <c r="N364" s="71"/>
      <c r="O364" s="71"/>
      <c r="P364" s="71"/>
      <c r="Q364" s="71"/>
      <c r="R364" s="71"/>
      <c r="S364" s="71"/>
      <c r="T364" s="71"/>
      <c r="U364" s="342"/>
      <c r="V364" s="71"/>
      <c r="W364" s="71"/>
      <c r="X364" s="71"/>
      <c r="Y364" s="71"/>
      <c r="Z364" s="71"/>
      <c r="AA364" s="71"/>
      <c r="AB364" s="71"/>
      <c r="AC364" s="71"/>
      <c r="AD364" s="71"/>
      <c r="AE364" s="71"/>
      <c r="AF364" s="71"/>
      <c r="AG364" s="71"/>
      <c r="AH364" s="71"/>
      <c r="AI364" s="76"/>
    </row>
    <row r="365" spans="1:35">
      <c r="A365" s="59" t="s">
        <v>185</v>
      </c>
      <c r="B365" s="60" t="s">
        <v>186</v>
      </c>
      <c r="C365" s="78">
        <v>98</v>
      </c>
      <c r="D365" s="62" t="s">
        <v>27</v>
      </c>
      <c r="E365" s="63" t="str">
        <f>A365&amp;" "&amp;B365&amp;" "&amp;C365</f>
        <v>custom specs 98</v>
      </c>
      <c r="F365" s="63" t="str">
        <f t="shared" si="7"/>
        <v>custom specs 98 Max</v>
      </c>
      <c r="G365" s="89"/>
      <c r="H365" s="89"/>
      <c r="I365" s="86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341"/>
      <c r="V365" s="64"/>
      <c r="W365" s="64"/>
      <c r="X365" s="64"/>
      <c r="Y365" s="64"/>
      <c r="Z365" s="64"/>
      <c r="AA365" s="64"/>
      <c r="AB365" s="64"/>
      <c r="AC365" s="64"/>
      <c r="AD365" s="64"/>
      <c r="AE365" s="64"/>
      <c r="AF365" s="64"/>
      <c r="AG365" s="64"/>
      <c r="AH365" s="64"/>
      <c r="AI365" s="75"/>
    </row>
    <row r="366" spans="1:35">
      <c r="A366" s="65" t="s">
        <v>185</v>
      </c>
      <c r="B366" s="66" t="s">
        <v>186</v>
      </c>
      <c r="C366" s="79">
        <v>98</v>
      </c>
      <c r="D366" s="68" t="s">
        <v>26</v>
      </c>
      <c r="E366" s="69"/>
      <c r="F366" s="70" t="str">
        <f t="shared" si="7"/>
        <v>custom specs 98 Min</v>
      </c>
      <c r="G366" s="90"/>
      <c r="H366" s="90"/>
      <c r="I366" s="87"/>
      <c r="J366" s="71"/>
      <c r="K366" s="71"/>
      <c r="L366" s="71"/>
      <c r="M366" s="71"/>
      <c r="N366" s="71"/>
      <c r="O366" s="71"/>
      <c r="P366" s="71"/>
      <c r="Q366" s="71"/>
      <c r="R366" s="71"/>
      <c r="S366" s="71"/>
      <c r="T366" s="71"/>
      <c r="U366" s="342"/>
      <c r="V366" s="71"/>
      <c r="W366" s="71"/>
      <c r="X366" s="71"/>
      <c r="Y366" s="71"/>
      <c r="Z366" s="71"/>
      <c r="AA366" s="71"/>
      <c r="AB366" s="71"/>
      <c r="AC366" s="71"/>
      <c r="AD366" s="71"/>
      <c r="AE366" s="71"/>
      <c r="AF366" s="71"/>
      <c r="AG366" s="71"/>
      <c r="AH366" s="71"/>
      <c r="AI366" s="76"/>
    </row>
    <row r="367" spans="1:35">
      <c r="A367" s="59" t="s">
        <v>185</v>
      </c>
      <c r="B367" s="60" t="s">
        <v>186</v>
      </c>
      <c r="C367" s="78">
        <v>99</v>
      </c>
      <c r="D367" s="62" t="s">
        <v>27</v>
      </c>
      <c r="E367" s="63" t="str">
        <f>A367&amp;" "&amp;B367&amp;" "&amp;C367</f>
        <v>custom specs 99</v>
      </c>
      <c r="F367" s="63" t="str">
        <f t="shared" si="7"/>
        <v>custom specs 99 Max</v>
      </c>
      <c r="G367" s="89"/>
      <c r="H367" s="89"/>
      <c r="I367" s="86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341"/>
      <c r="V367" s="64"/>
      <c r="W367" s="64"/>
      <c r="X367" s="64"/>
      <c r="Y367" s="64"/>
      <c r="Z367" s="64"/>
      <c r="AA367" s="64"/>
      <c r="AB367" s="64"/>
      <c r="AC367" s="64"/>
      <c r="AD367" s="64"/>
      <c r="AE367" s="64"/>
      <c r="AF367" s="64"/>
      <c r="AG367" s="64"/>
      <c r="AH367" s="64"/>
      <c r="AI367" s="75"/>
    </row>
    <row r="368" spans="1:35">
      <c r="A368" s="65" t="s">
        <v>185</v>
      </c>
      <c r="B368" s="66" t="s">
        <v>186</v>
      </c>
      <c r="C368" s="79">
        <v>99</v>
      </c>
      <c r="D368" s="68" t="s">
        <v>26</v>
      </c>
      <c r="E368" s="69"/>
      <c r="F368" s="70" t="str">
        <f t="shared" si="7"/>
        <v>custom specs 99 Min</v>
      </c>
      <c r="G368" s="90"/>
      <c r="H368" s="90"/>
      <c r="I368" s="87"/>
      <c r="J368" s="71"/>
      <c r="K368" s="71"/>
      <c r="L368" s="71"/>
      <c r="M368" s="71"/>
      <c r="N368" s="71"/>
      <c r="O368" s="71"/>
      <c r="P368" s="71"/>
      <c r="Q368" s="71"/>
      <c r="R368" s="71"/>
      <c r="S368" s="71"/>
      <c r="T368" s="71"/>
      <c r="U368" s="342"/>
      <c r="V368" s="71"/>
      <c r="W368" s="71"/>
      <c r="X368" s="71"/>
      <c r="Y368" s="71"/>
      <c r="Z368" s="71"/>
      <c r="AA368" s="71"/>
      <c r="AB368" s="71"/>
      <c r="AC368" s="71"/>
      <c r="AD368" s="71"/>
      <c r="AE368" s="71"/>
      <c r="AF368" s="71"/>
      <c r="AG368" s="71"/>
      <c r="AH368" s="71"/>
      <c r="AI368" s="76"/>
    </row>
    <row r="369" spans="1:35">
      <c r="A369" s="59" t="s">
        <v>185</v>
      </c>
      <c r="B369" s="60" t="s">
        <v>186</v>
      </c>
      <c r="C369" s="78">
        <v>100</v>
      </c>
      <c r="D369" s="62" t="s">
        <v>27</v>
      </c>
      <c r="E369" s="63" t="str">
        <f>A369&amp;" "&amp;B369&amp;" "&amp;C369</f>
        <v>custom specs 100</v>
      </c>
      <c r="F369" s="63" t="str">
        <f t="shared" si="7"/>
        <v>custom specs 100 Max</v>
      </c>
      <c r="G369" s="89"/>
      <c r="H369" s="89"/>
      <c r="I369" s="86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341"/>
      <c r="V369" s="64"/>
      <c r="W369" s="64"/>
      <c r="X369" s="64"/>
      <c r="Y369" s="64"/>
      <c r="Z369" s="64"/>
      <c r="AA369" s="64"/>
      <c r="AB369" s="64"/>
      <c r="AC369" s="64"/>
      <c r="AD369" s="64"/>
      <c r="AE369" s="64"/>
      <c r="AF369" s="64"/>
      <c r="AG369" s="64"/>
      <c r="AH369" s="64"/>
      <c r="AI369" s="75"/>
    </row>
    <row r="370" spans="1:35">
      <c r="A370" s="65" t="s">
        <v>185</v>
      </c>
      <c r="B370" s="66" t="s">
        <v>186</v>
      </c>
      <c r="C370" s="79">
        <v>100</v>
      </c>
      <c r="D370" s="68" t="s">
        <v>26</v>
      </c>
      <c r="E370" s="69"/>
      <c r="F370" s="70" t="str">
        <f t="shared" si="7"/>
        <v>custom specs 100 Min</v>
      </c>
      <c r="G370" s="90"/>
      <c r="H370" s="90"/>
      <c r="I370" s="87"/>
      <c r="J370" s="71"/>
      <c r="K370" s="71"/>
      <c r="L370" s="71"/>
      <c r="M370" s="71"/>
      <c r="N370" s="71"/>
      <c r="O370" s="71"/>
      <c r="P370" s="71"/>
      <c r="Q370" s="71"/>
      <c r="R370" s="71"/>
      <c r="S370" s="71"/>
      <c r="T370" s="71"/>
      <c r="U370" s="342"/>
      <c r="V370" s="71"/>
      <c r="W370" s="71"/>
      <c r="X370" s="71"/>
      <c r="Y370" s="71"/>
      <c r="Z370" s="71"/>
      <c r="AA370" s="71"/>
      <c r="AB370" s="71"/>
      <c r="AC370" s="71"/>
      <c r="AD370" s="71"/>
      <c r="AE370" s="71"/>
      <c r="AF370" s="71"/>
      <c r="AG370" s="71"/>
      <c r="AH370" s="71"/>
      <c r="AI370" s="76"/>
    </row>
    <row r="371" spans="1:35">
      <c r="A371" s="59" t="s">
        <v>185</v>
      </c>
      <c r="B371" s="60" t="s">
        <v>186</v>
      </c>
      <c r="C371" s="78">
        <v>101</v>
      </c>
      <c r="D371" s="62" t="s">
        <v>27</v>
      </c>
      <c r="E371" s="63" t="str">
        <f>A371&amp;" "&amp;B371&amp;" "&amp;C371</f>
        <v>custom specs 101</v>
      </c>
      <c r="F371" s="63" t="str">
        <f t="shared" si="7"/>
        <v>custom specs 101 Max</v>
      </c>
      <c r="G371" s="89"/>
      <c r="H371" s="89"/>
      <c r="I371" s="86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341"/>
      <c r="V371" s="64"/>
      <c r="W371" s="64"/>
      <c r="X371" s="64"/>
      <c r="Y371" s="64"/>
      <c r="Z371" s="64"/>
      <c r="AA371" s="64"/>
      <c r="AB371" s="64"/>
      <c r="AC371" s="64"/>
      <c r="AD371" s="64"/>
      <c r="AE371" s="64"/>
      <c r="AF371" s="64"/>
      <c r="AG371" s="64"/>
      <c r="AH371" s="64"/>
      <c r="AI371" s="75"/>
    </row>
    <row r="372" spans="1:35">
      <c r="A372" s="65" t="s">
        <v>185</v>
      </c>
      <c r="B372" s="66" t="s">
        <v>186</v>
      </c>
      <c r="C372" s="79">
        <v>101</v>
      </c>
      <c r="D372" s="68" t="s">
        <v>26</v>
      </c>
      <c r="E372" s="69"/>
      <c r="F372" s="70" t="str">
        <f t="shared" si="7"/>
        <v>custom specs 101 Min</v>
      </c>
      <c r="G372" s="90"/>
      <c r="H372" s="90"/>
      <c r="I372" s="87"/>
      <c r="J372" s="71"/>
      <c r="K372" s="71"/>
      <c r="L372" s="71"/>
      <c r="M372" s="71"/>
      <c r="N372" s="71"/>
      <c r="O372" s="71"/>
      <c r="P372" s="71"/>
      <c r="Q372" s="71"/>
      <c r="R372" s="71"/>
      <c r="S372" s="71"/>
      <c r="T372" s="71"/>
      <c r="U372" s="342"/>
      <c r="V372" s="71"/>
      <c r="W372" s="71"/>
      <c r="X372" s="71"/>
      <c r="Y372" s="71"/>
      <c r="Z372" s="71"/>
      <c r="AA372" s="71"/>
      <c r="AB372" s="71"/>
      <c r="AC372" s="71"/>
      <c r="AD372" s="71"/>
      <c r="AE372" s="71"/>
      <c r="AF372" s="71"/>
      <c r="AG372" s="71"/>
      <c r="AH372" s="71"/>
      <c r="AI372" s="76"/>
    </row>
    <row r="373" spans="1:35">
      <c r="A373" s="59" t="s">
        <v>185</v>
      </c>
      <c r="B373" s="60" t="s">
        <v>186</v>
      </c>
      <c r="C373" s="78">
        <v>102</v>
      </c>
      <c r="D373" s="62" t="s">
        <v>27</v>
      </c>
      <c r="E373" s="63" t="str">
        <f>A373&amp;" "&amp;B373&amp;" "&amp;C373</f>
        <v>custom specs 102</v>
      </c>
      <c r="F373" s="63" t="str">
        <f t="shared" si="7"/>
        <v>custom specs 102 Max</v>
      </c>
      <c r="G373" s="89"/>
      <c r="H373" s="89"/>
      <c r="I373" s="86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341"/>
      <c r="V373" s="64"/>
      <c r="W373" s="64"/>
      <c r="X373" s="64"/>
      <c r="Y373" s="64"/>
      <c r="Z373" s="64"/>
      <c r="AA373" s="64"/>
      <c r="AB373" s="64"/>
      <c r="AC373" s="64"/>
      <c r="AD373" s="64"/>
      <c r="AE373" s="64"/>
      <c r="AF373" s="64"/>
      <c r="AG373" s="64"/>
      <c r="AH373" s="64"/>
      <c r="AI373" s="75"/>
    </row>
    <row r="374" spans="1:35">
      <c r="A374" s="65" t="s">
        <v>185</v>
      </c>
      <c r="B374" s="66" t="s">
        <v>186</v>
      </c>
      <c r="C374" s="79">
        <v>102</v>
      </c>
      <c r="D374" s="68" t="s">
        <v>26</v>
      </c>
      <c r="E374" s="69"/>
      <c r="F374" s="70" t="str">
        <f t="shared" si="7"/>
        <v>custom specs 102 Min</v>
      </c>
      <c r="G374" s="90"/>
      <c r="H374" s="90"/>
      <c r="I374" s="87"/>
      <c r="J374" s="71"/>
      <c r="K374" s="71"/>
      <c r="L374" s="71"/>
      <c r="M374" s="71"/>
      <c r="N374" s="71"/>
      <c r="O374" s="71"/>
      <c r="P374" s="71"/>
      <c r="Q374" s="71"/>
      <c r="R374" s="71"/>
      <c r="S374" s="71"/>
      <c r="T374" s="71"/>
      <c r="U374" s="342"/>
      <c r="V374" s="71"/>
      <c r="W374" s="71"/>
      <c r="X374" s="71"/>
      <c r="Y374" s="71"/>
      <c r="Z374" s="71"/>
      <c r="AA374" s="71"/>
      <c r="AB374" s="71"/>
      <c r="AC374" s="71"/>
      <c r="AD374" s="71"/>
      <c r="AE374" s="71"/>
      <c r="AF374" s="71"/>
      <c r="AG374" s="71"/>
      <c r="AH374" s="71"/>
      <c r="AI374" s="76"/>
    </row>
    <row r="375" spans="1:35">
      <c r="A375" s="59" t="s">
        <v>185</v>
      </c>
      <c r="B375" s="60" t="s">
        <v>186</v>
      </c>
      <c r="C375" s="78">
        <v>103</v>
      </c>
      <c r="D375" s="62" t="s">
        <v>27</v>
      </c>
      <c r="E375" s="63" t="str">
        <f>A375&amp;" "&amp;B375&amp;" "&amp;C375</f>
        <v>custom specs 103</v>
      </c>
      <c r="F375" s="63" t="str">
        <f t="shared" si="7"/>
        <v>custom specs 103 Max</v>
      </c>
      <c r="G375" s="89"/>
      <c r="H375" s="89"/>
      <c r="I375" s="86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341"/>
      <c r="V375" s="64"/>
      <c r="W375" s="64"/>
      <c r="X375" s="64"/>
      <c r="Y375" s="64"/>
      <c r="Z375" s="64"/>
      <c r="AA375" s="64"/>
      <c r="AB375" s="64"/>
      <c r="AC375" s="64"/>
      <c r="AD375" s="64"/>
      <c r="AE375" s="64"/>
      <c r="AF375" s="64"/>
      <c r="AG375" s="64"/>
      <c r="AH375" s="64"/>
      <c r="AI375" s="75"/>
    </row>
    <row r="376" spans="1:35">
      <c r="A376" s="65" t="s">
        <v>185</v>
      </c>
      <c r="B376" s="66" t="s">
        <v>186</v>
      </c>
      <c r="C376" s="79">
        <v>103</v>
      </c>
      <c r="D376" s="68" t="s">
        <v>26</v>
      </c>
      <c r="E376" s="69"/>
      <c r="F376" s="70" t="str">
        <f t="shared" si="7"/>
        <v>custom specs 103 Min</v>
      </c>
      <c r="G376" s="90"/>
      <c r="H376" s="90"/>
      <c r="I376" s="87"/>
      <c r="J376" s="71"/>
      <c r="K376" s="71"/>
      <c r="L376" s="71"/>
      <c r="M376" s="71"/>
      <c r="N376" s="71"/>
      <c r="O376" s="71"/>
      <c r="P376" s="71"/>
      <c r="Q376" s="71"/>
      <c r="R376" s="71"/>
      <c r="S376" s="71"/>
      <c r="T376" s="71"/>
      <c r="U376" s="342"/>
      <c r="V376" s="71"/>
      <c r="W376" s="71"/>
      <c r="X376" s="71"/>
      <c r="Y376" s="71"/>
      <c r="Z376" s="71"/>
      <c r="AA376" s="71"/>
      <c r="AB376" s="71"/>
      <c r="AC376" s="71"/>
      <c r="AD376" s="71"/>
      <c r="AE376" s="71"/>
      <c r="AF376" s="71"/>
      <c r="AG376" s="71"/>
      <c r="AH376" s="71"/>
      <c r="AI376" s="76"/>
    </row>
    <row r="377" spans="1:35">
      <c r="A377" s="59" t="s">
        <v>185</v>
      </c>
      <c r="B377" s="60" t="s">
        <v>186</v>
      </c>
      <c r="C377" s="78">
        <v>104</v>
      </c>
      <c r="D377" s="62" t="s">
        <v>27</v>
      </c>
      <c r="E377" s="63" t="str">
        <f>A377&amp;" "&amp;B377&amp;" "&amp;C377</f>
        <v>custom specs 104</v>
      </c>
      <c r="F377" s="63" t="str">
        <f t="shared" si="7"/>
        <v>custom specs 104 Max</v>
      </c>
      <c r="G377" s="89"/>
      <c r="H377" s="89"/>
      <c r="I377" s="86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341"/>
      <c r="V377" s="64"/>
      <c r="W377" s="64"/>
      <c r="X377" s="64"/>
      <c r="Y377" s="64"/>
      <c r="Z377" s="64"/>
      <c r="AA377" s="64"/>
      <c r="AB377" s="64"/>
      <c r="AC377" s="64"/>
      <c r="AD377" s="64"/>
      <c r="AE377" s="64"/>
      <c r="AF377" s="64"/>
      <c r="AG377" s="64"/>
      <c r="AH377" s="64"/>
      <c r="AI377" s="75"/>
    </row>
    <row r="378" spans="1:35">
      <c r="A378" s="65" t="s">
        <v>185</v>
      </c>
      <c r="B378" s="66" t="s">
        <v>186</v>
      </c>
      <c r="C378" s="79">
        <v>104</v>
      </c>
      <c r="D378" s="68" t="s">
        <v>26</v>
      </c>
      <c r="E378" s="69"/>
      <c r="F378" s="70" t="str">
        <f t="shared" si="7"/>
        <v>custom specs 104 Min</v>
      </c>
      <c r="G378" s="90"/>
      <c r="H378" s="90"/>
      <c r="I378" s="87"/>
      <c r="J378" s="71"/>
      <c r="K378" s="71"/>
      <c r="L378" s="71"/>
      <c r="M378" s="71"/>
      <c r="N378" s="71"/>
      <c r="O378" s="71"/>
      <c r="P378" s="71"/>
      <c r="Q378" s="71"/>
      <c r="R378" s="71"/>
      <c r="S378" s="71"/>
      <c r="T378" s="71"/>
      <c r="U378" s="342"/>
      <c r="V378" s="71"/>
      <c r="W378" s="71"/>
      <c r="X378" s="71"/>
      <c r="Y378" s="71"/>
      <c r="Z378" s="71"/>
      <c r="AA378" s="71"/>
      <c r="AB378" s="71"/>
      <c r="AC378" s="71"/>
      <c r="AD378" s="71"/>
      <c r="AE378" s="71"/>
      <c r="AF378" s="71"/>
      <c r="AG378" s="71"/>
      <c r="AH378" s="71"/>
      <c r="AI378" s="76"/>
    </row>
    <row r="379" spans="1:35">
      <c r="A379" s="59" t="s">
        <v>185</v>
      </c>
      <c r="B379" s="60" t="s">
        <v>186</v>
      </c>
      <c r="C379" s="78">
        <v>105</v>
      </c>
      <c r="D379" s="62" t="s">
        <v>27</v>
      </c>
      <c r="E379" s="63" t="str">
        <f>A379&amp;" "&amp;B379&amp;" "&amp;C379</f>
        <v>custom specs 105</v>
      </c>
      <c r="F379" s="63" t="str">
        <f t="shared" si="7"/>
        <v>custom specs 105 Max</v>
      </c>
      <c r="G379" s="89"/>
      <c r="H379" s="89"/>
      <c r="I379" s="86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341"/>
      <c r="V379" s="64"/>
      <c r="W379" s="64"/>
      <c r="X379" s="64"/>
      <c r="Y379" s="64"/>
      <c r="Z379" s="64"/>
      <c r="AA379" s="64"/>
      <c r="AB379" s="64"/>
      <c r="AC379" s="64"/>
      <c r="AD379" s="64"/>
      <c r="AE379" s="64"/>
      <c r="AF379" s="64"/>
      <c r="AG379" s="64"/>
      <c r="AH379" s="64"/>
      <c r="AI379" s="75"/>
    </row>
    <row r="380" spans="1:35">
      <c r="A380" s="65" t="s">
        <v>185</v>
      </c>
      <c r="B380" s="66" t="s">
        <v>186</v>
      </c>
      <c r="C380" s="79">
        <v>105</v>
      </c>
      <c r="D380" s="68" t="s">
        <v>26</v>
      </c>
      <c r="E380" s="69"/>
      <c r="F380" s="70" t="str">
        <f t="shared" si="7"/>
        <v>custom specs 105 Min</v>
      </c>
      <c r="G380" s="90"/>
      <c r="H380" s="90"/>
      <c r="I380" s="87"/>
      <c r="J380" s="71"/>
      <c r="K380" s="71"/>
      <c r="L380" s="71"/>
      <c r="M380" s="71"/>
      <c r="N380" s="71"/>
      <c r="O380" s="71"/>
      <c r="P380" s="71"/>
      <c r="Q380" s="71"/>
      <c r="R380" s="71"/>
      <c r="S380" s="71"/>
      <c r="T380" s="71"/>
      <c r="U380" s="342"/>
      <c r="V380" s="71"/>
      <c r="W380" s="71"/>
      <c r="X380" s="71"/>
      <c r="Y380" s="71"/>
      <c r="Z380" s="71"/>
      <c r="AA380" s="71"/>
      <c r="AB380" s="71"/>
      <c r="AC380" s="71"/>
      <c r="AD380" s="71"/>
      <c r="AE380" s="71"/>
      <c r="AF380" s="71"/>
      <c r="AG380" s="71"/>
      <c r="AH380" s="71"/>
      <c r="AI380" s="76"/>
    </row>
    <row r="381" spans="1:35">
      <c r="A381" s="59" t="s">
        <v>185</v>
      </c>
      <c r="B381" s="60" t="s">
        <v>186</v>
      </c>
      <c r="C381" s="78">
        <v>106</v>
      </c>
      <c r="D381" s="62" t="s">
        <v>27</v>
      </c>
      <c r="E381" s="63" t="str">
        <f>A381&amp;" "&amp;B381&amp;" "&amp;C381</f>
        <v>custom specs 106</v>
      </c>
      <c r="F381" s="63" t="str">
        <f t="shared" si="7"/>
        <v>custom specs 106 Max</v>
      </c>
      <c r="G381" s="89"/>
      <c r="H381" s="89"/>
      <c r="I381" s="86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341"/>
      <c r="V381" s="64"/>
      <c r="W381" s="64"/>
      <c r="X381" s="64"/>
      <c r="Y381" s="64"/>
      <c r="Z381" s="64"/>
      <c r="AA381" s="64"/>
      <c r="AB381" s="64"/>
      <c r="AC381" s="64"/>
      <c r="AD381" s="64"/>
      <c r="AE381" s="64"/>
      <c r="AF381" s="64"/>
      <c r="AG381" s="64"/>
      <c r="AH381" s="64"/>
      <c r="AI381" s="75"/>
    </row>
    <row r="382" spans="1:35">
      <c r="A382" s="65" t="s">
        <v>185</v>
      </c>
      <c r="B382" s="66" t="s">
        <v>186</v>
      </c>
      <c r="C382" s="79">
        <v>106</v>
      </c>
      <c r="D382" s="68" t="s">
        <v>26</v>
      </c>
      <c r="E382" s="69"/>
      <c r="F382" s="70" t="str">
        <f t="shared" si="7"/>
        <v>custom specs 106 Min</v>
      </c>
      <c r="G382" s="90"/>
      <c r="H382" s="90"/>
      <c r="I382" s="87"/>
      <c r="J382" s="71"/>
      <c r="K382" s="71"/>
      <c r="L382" s="71"/>
      <c r="M382" s="71"/>
      <c r="N382" s="71"/>
      <c r="O382" s="71"/>
      <c r="P382" s="71"/>
      <c r="Q382" s="71"/>
      <c r="R382" s="71"/>
      <c r="S382" s="71"/>
      <c r="T382" s="71"/>
      <c r="U382" s="342"/>
      <c r="V382" s="71"/>
      <c r="W382" s="71"/>
      <c r="X382" s="71"/>
      <c r="Y382" s="71"/>
      <c r="Z382" s="71"/>
      <c r="AA382" s="71"/>
      <c r="AB382" s="71"/>
      <c r="AC382" s="71"/>
      <c r="AD382" s="71"/>
      <c r="AE382" s="71"/>
      <c r="AF382" s="71"/>
      <c r="AG382" s="71"/>
      <c r="AH382" s="71"/>
      <c r="AI382" s="76"/>
    </row>
    <row r="383" spans="1:35">
      <c r="A383" s="59" t="s">
        <v>185</v>
      </c>
      <c r="B383" s="60" t="s">
        <v>186</v>
      </c>
      <c r="C383" s="78">
        <v>107</v>
      </c>
      <c r="D383" s="62" t="s">
        <v>27</v>
      </c>
      <c r="E383" s="63" t="str">
        <f>A383&amp;" "&amp;B383&amp;" "&amp;C383</f>
        <v>custom specs 107</v>
      </c>
      <c r="F383" s="63" t="str">
        <f t="shared" ref="F383:F398" si="8">A383&amp;" "&amp;B383&amp;" "&amp;C383&amp;" "&amp;D383</f>
        <v>custom specs 107 Max</v>
      </c>
      <c r="G383" s="89"/>
      <c r="H383" s="89"/>
      <c r="I383" s="86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341"/>
      <c r="V383" s="64"/>
      <c r="W383" s="64"/>
      <c r="X383" s="64"/>
      <c r="Y383" s="64"/>
      <c r="Z383" s="64"/>
      <c r="AA383" s="64"/>
      <c r="AB383" s="64"/>
      <c r="AC383" s="64"/>
      <c r="AD383" s="64"/>
      <c r="AE383" s="64"/>
      <c r="AF383" s="64"/>
      <c r="AG383" s="64"/>
      <c r="AH383" s="64"/>
      <c r="AI383" s="75"/>
    </row>
    <row r="384" spans="1:35">
      <c r="A384" s="65" t="s">
        <v>185</v>
      </c>
      <c r="B384" s="66" t="s">
        <v>186</v>
      </c>
      <c r="C384" s="79">
        <v>107</v>
      </c>
      <c r="D384" s="68" t="s">
        <v>26</v>
      </c>
      <c r="E384" s="69"/>
      <c r="F384" s="70" t="str">
        <f t="shared" si="8"/>
        <v>custom specs 107 Min</v>
      </c>
      <c r="G384" s="90"/>
      <c r="H384" s="90"/>
      <c r="I384" s="87"/>
      <c r="J384" s="71"/>
      <c r="K384" s="71"/>
      <c r="L384" s="71"/>
      <c r="M384" s="71"/>
      <c r="N384" s="71"/>
      <c r="O384" s="71"/>
      <c r="P384" s="71"/>
      <c r="Q384" s="71"/>
      <c r="R384" s="71"/>
      <c r="S384" s="71"/>
      <c r="T384" s="71"/>
      <c r="U384" s="342"/>
      <c r="V384" s="71"/>
      <c r="W384" s="71"/>
      <c r="X384" s="71"/>
      <c r="Y384" s="71"/>
      <c r="Z384" s="71"/>
      <c r="AA384" s="71"/>
      <c r="AB384" s="71"/>
      <c r="AC384" s="71"/>
      <c r="AD384" s="71"/>
      <c r="AE384" s="71"/>
      <c r="AF384" s="71"/>
      <c r="AG384" s="71"/>
      <c r="AH384" s="71"/>
      <c r="AI384" s="76"/>
    </row>
    <row r="385" spans="1:35">
      <c r="A385" s="59" t="s">
        <v>185</v>
      </c>
      <c r="B385" s="60" t="s">
        <v>186</v>
      </c>
      <c r="C385" s="78">
        <v>108</v>
      </c>
      <c r="D385" s="62" t="s">
        <v>27</v>
      </c>
      <c r="E385" s="63" t="str">
        <f>A385&amp;" "&amp;B385&amp;" "&amp;C385</f>
        <v>custom specs 108</v>
      </c>
      <c r="F385" s="63" t="str">
        <f t="shared" si="8"/>
        <v>custom specs 108 Max</v>
      </c>
      <c r="G385" s="89"/>
      <c r="H385" s="89"/>
      <c r="I385" s="86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341"/>
      <c r="V385" s="64"/>
      <c r="W385" s="64"/>
      <c r="X385" s="64"/>
      <c r="Y385" s="64"/>
      <c r="Z385" s="64"/>
      <c r="AA385" s="64"/>
      <c r="AB385" s="64"/>
      <c r="AC385" s="64"/>
      <c r="AD385" s="64"/>
      <c r="AE385" s="64"/>
      <c r="AF385" s="64"/>
      <c r="AG385" s="64"/>
      <c r="AH385" s="64"/>
      <c r="AI385" s="75"/>
    </row>
    <row r="386" spans="1:35">
      <c r="A386" s="65" t="s">
        <v>185</v>
      </c>
      <c r="B386" s="66" t="s">
        <v>186</v>
      </c>
      <c r="C386" s="79">
        <v>108</v>
      </c>
      <c r="D386" s="68" t="s">
        <v>26</v>
      </c>
      <c r="E386" s="69"/>
      <c r="F386" s="70" t="str">
        <f t="shared" si="8"/>
        <v>custom specs 108 Min</v>
      </c>
      <c r="G386" s="90"/>
      <c r="H386" s="90"/>
      <c r="I386" s="87"/>
      <c r="J386" s="71"/>
      <c r="K386" s="71"/>
      <c r="L386" s="71"/>
      <c r="M386" s="71"/>
      <c r="N386" s="71"/>
      <c r="O386" s="71"/>
      <c r="P386" s="71"/>
      <c r="Q386" s="71"/>
      <c r="R386" s="71"/>
      <c r="S386" s="71"/>
      <c r="T386" s="71"/>
      <c r="U386" s="342"/>
      <c r="V386" s="71"/>
      <c r="W386" s="71"/>
      <c r="X386" s="71"/>
      <c r="Y386" s="71"/>
      <c r="Z386" s="71"/>
      <c r="AA386" s="71"/>
      <c r="AB386" s="71"/>
      <c r="AC386" s="71"/>
      <c r="AD386" s="71"/>
      <c r="AE386" s="71"/>
      <c r="AF386" s="71"/>
      <c r="AG386" s="71"/>
      <c r="AH386" s="71"/>
      <c r="AI386" s="76"/>
    </row>
    <row r="387" spans="1:35">
      <c r="A387" s="59" t="s">
        <v>185</v>
      </c>
      <c r="B387" s="60" t="s">
        <v>186</v>
      </c>
      <c r="C387" s="78">
        <v>109</v>
      </c>
      <c r="D387" s="62" t="s">
        <v>27</v>
      </c>
      <c r="E387" s="63" t="str">
        <f>A387&amp;" "&amp;B387&amp;" "&amp;C387</f>
        <v>custom specs 109</v>
      </c>
      <c r="F387" s="63" t="str">
        <f t="shared" si="8"/>
        <v>custom specs 109 Max</v>
      </c>
      <c r="G387" s="89"/>
      <c r="H387" s="89"/>
      <c r="I387" s="86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341"/>
      <c r="V387" s="64"/>
      <c r="W387" s="64"/>
      <c r="X387" s="64"/>
      <c r="Y387" s="64"/>
      <c r="Z387" s="64"/>
      <c r="AA387" s="64"/>
      <c r="AB387" s="64"/>
      <c r="AC387" s="64"/>
      <c r="AD387" s="64"/>
      <c r="AE387" s="64"/>
      <c r="AF387" s="64"/>
      <c r="AG387" s="64"/>
      <c r="AH387" s="64"/>
      <c r="AI387" s="75"/>
    </row>
    <row r="388" spans="1:35">
      <c r="A388" s="65" t="s">
        <v>185</v>
      </c>
      <c r="B388" s="66" t="s">
        <v>186</v>
      </c>
      <c r="C388" s="79">
        <v>109</v>
      </c>
      <c r="D388" s="68" t="s">
        <v>26</v>
      </c>
      <c r="E388" s="69"/>
      <c r="F388" s="70" t="str">
        <f t="shared" si="8"/>
        <v>custom specs 109 Min</v>
      </c>
      <c r="G388" s="90"/>
      <c r="H388" s="90"/>
      <c r="I388" s="87"/>
      <c r="J388" s="71"/>
      <c r="K388" s="71"/>
      <c r="L388" s="71"/>
      <c r="M388" s="71"/>
      <c r="N388" s="71"/>
      <c r="O388" s="71"/>
      <c r="P388" s="71"/>
      <c r="Q388" s="71"/>
      <c r="R388" s="71"/>
      <c r="S388" s="71"/>
      <c r="T388" s="71"/>
      <c r="U388" s="342"/>
      <c r="V388" s="71"/>
      <c r="W388" s="71"/>
      <c r="X388" s="71"/>
      <c r="Y388" s="71"/>
      <c r="Z388" s="71"/>
      <c r="AA388" s="71"/>
      <c r="AB388" s="71"/>
      <c r="AC388" s="71"/>
      <c r="AD388" s="71"/>
      <c r="AE388" s="71"/>
      <c r="AF388" s="71"/>
      <c r="AG388" s="71"/>
      <c r="AH388" s="71"/>
      <c r="AI388" s="76"/>
    </row>
    <row r="389" spans="1:35">
      <c r="A389" s="59" t="s">
        <v>185</v>
      </c>
      <c r="B389" s="60" t="s">
        <v>186</v>
      </c>
      <c r="C389" s="78">
        <v>110</v>
      </c>
      <c r="D389" s="62" t="s">
        <v>27</v>
      </c>
      <c r="E389" s="63" t="str">
        <f>A389&amp;" "&amp;B389&amp;" "&amp;C389</f>
        <v>custom specs 110</v>
      </c>
      <c r="F389" s="63" t="str">
        <f t="shared" si="8"/>
        <v>custom specs 110 Max</v>
      </c>
      <c r="G389" s="89"/>
      <c r="H389" s="89"/>
      <c r="I389" s="86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341"/>
      <c r="V389" s="64"/>
      <c r="W389" s="64"/>
      <c r="X389" s="64"/>
      <c r="Y389" s="64"/>
      <c r="Z389" s="64"/>
      <c r="AA389" s="64"/>
      <c r="AB389" s="64"/>
      <c r="AC389" s="64"/>
      <c r="AD389" s="64"/>
      <c r="AE389" s="64"/>
      <c r="AF389" s="64"/>
      <c r="AG389" s="64"/>
      <c r="AH389" s="64"/>
      <c r="AI389" s="75"/>
    </row>
    <row r="390" spans="1:35">
      <c r="A390" s="65" t="s">
        <v>185</v>
      </c>
      <c r="B390" s="66" t="s">
        <v>186</v>
      </c>
      <c r="C390" s="79">
        <v>110</v>
      </c>
      <c r="D390" s="68" t="s">
        <v>26</v>
      </c>
      <c r="E390" s="69"/>
      <c r="F390" s="70" t="str">
        <f t="shared" si="8"/>
        <v>custom specs 110 Min</v>
      </c>
      <c r="G390" s="90"/>
      <c r="H390" s="90"/>
      <c r="I390" s="87"/>
      <c r="J390" s="71"/>
      <c r="K390" s="71"/>
      <c r="L390" s="71"/>
      <c r="M390" s="71"/>
      <c r="N390" s="71"/>
      <c r="O390" s="71"/>
      <c r="P390" s="71"/>
      <c r="Q390" s="71"/>
      <c r="R390" s="71"/>
      <c r="S390" s="71"/>
      <c r="T390" s="71"/>
      <c r="U390" s="342"/>
      <c r="V390" s="71"/>
      <c r="W390" s="71"/>
      <c r="X390" s="71"/>
      <c r="Y390" s="71"/>
      <c r="Z390" s="71"/>
      <c r="AA390" s="71"/>
      <c r="AB390" s="71"/>
      <c r="AC390" s="71"/>
      <c r="AD390" s="71"/>
      <c r="AE390" s="71"/>
      <c r="AF390" s="71"/>
      <c r="AG390" s="71"/>
      <c r="AH390" s="71"/>
      <c r="AI390" s="76"/>
    </row>
    <row r="391" spans="1:35">
      <c r="A391" s="59" t="s">
        <v>185</v>
      </c>
      <c r="B391" s="60" t="s">
        <v>186</v>
      </c>
      <c r="C391" s="78">
        <v>111</v>
      </c>
      <c r="D391" s="62" t="s">
        <v>27</v>
      </c>
      <c r="E391" s="63" t="str">
        <f>A391&amp;" "&amp;B391&amp;" "&amp;C391</f>
        <v>custom specs 111</v>
      </c>
      <c r="F391" s="63" t="str">
        <f t="shared" si="8"/>
        <v>custom specs 111 Max</v>
      </c>
      <c r="G391" s="89"/>
      <c r="H391" s="89"/>
      <c r="I391" s="86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341"/>
      <c r="V391" s="64"/>
      <c r="W391" s="64"/>
      <c r="X391" s="64"/>
      <c r="Y391" s="64"/>
      <c r="Z391" s="64"/>
      <c r="AA391" s="64"/>
      <c r="AB391" s="64"/>
      <c r="AC391" s="64"/>
      <c r="AD391" s="64"/>
      <c r="AE391" s="64"/>
      <c r="AF391" s="64"/>
      <c r="AG391" s="64"/>
      <c r="AH391" s="64"/>
      <c r="AI391" s="75"/>
    </row>
    <row r="392" spans="1:35">
      <c r="A392" s="65" t="s">
        <v>185</v>
      </c>
      <c r="B392" s="66" t="s">
        <v>186</v>
      </c>
      <c r="C392" s="79">
        <v>111</v>
      </c>
      <c r="D392" s="68" t="s">
        <v>26</v>
      </c>
      <c r="E392" s="69"/>
      <c r="F392" s="70" t="str">
        <f t="shared" si="8"/>
        <v>custom specs 111 Min</v>
      </c>
      <c r="G392" s="90"/>
      <c r="H392" s="90"/>
      <c r="I392" s="87"/>
      <c r="J392" s="71"/>
      <c r="K392" s="71"/>
      <c r="L392" s="71"/>
      <c r="M392" s="71"/>
      <c r="N392" s="71"/>
      <c r="O392" s="71"/>
      <c r="P392" s="71"/>
      <c r="Q392" s="71"/>
      <c r="R392" s="71"/>
      <c r="S392" s="71"/>
      <c r="T392" s="71"/>
      <c r="U392" s="342"/>
      <c r="V392" s="71"/>
      <c r="W392" s="71"/>
      <c r="X392" s="71"/>
      <c r="Y392" s="71"/>
      <c r="Z392" s="71"/>
      <c r="AA392" s="71"/>
      <c r="AB392" s="71"/>
      <c r="AC392" s="71"/>
      <c r="AD392" s="71"/>
      <c r="AE392" s="71"/>
      <c r="AF392" s="71"/>
      <c r="AG392" s="71"/>
      <c r="AH392" s="71"/>
      <c r="AI392" s="76"/>
    </row>
    <row r="393" spans="1:35">
      <c r="A393" s="59" t="s">
        <v>185</v>
      </c>
      <c r="B393" s="60" t="s">
        <v>186</v>
      </c>
      <c r="C393" s="78">
        <v>112</v>
      </c>
      <c r="D393" s="62" t="s">
        <v>27</v>
      </c>
      <c r="E393" s="63" t="str">
        <f>A393&amp;" "&amp;B393&amp;" "&amp;C393</f>
        <v>custom specs 112</v>
      </c>
      <c r="F393" s="63" t="str">
        <f t="shared" si="8"/>
        <v>custom specs 112 Max</v>
      </c>
      <c r="G393" s="89"/>
      <c r="H393" s="89"/>
      <c r="I393" s="86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341"/>
      <c r="V393" s="64"/>
      <c r="W393" s="64"/>
      <c r="X393" s="64"/>
      <c r="Y393" s="64"/>
      <c r="Z393" s="64"/>
      <c r="AA393" s="64"/>
      <c r="AB393" s="64"/>
      <c r="AC393" s="64"/>
      <c r="AD393" s="64"/>
      <c r="AE393" s="64"/>
      <c r="AF393" s="64"/>
      <c r="AG393" s="64"/>
      <c r="AH393" s="64"/>
      <c r="AI393" s="75"/>
    </row>
    <row r="394" spans="1:35">
      <c r="A394" s="65" t="s">
        <v>185</v>
      </c>
      <c r="B394" s="66" t="s">
        <v>186</v>
      </c>
      <c r="C394" s="79">
        <v>112</v>
      </c>
      <c r="D394" s="68" t="s">
        <v>26</v>
      </c>
      <c r="E394" s="69"/>
      <c r="F394" s="70" t="str">
        <f t="shared" si="8"/>
        <v>custom specs 112 Min</v>
      </c>
      <c r="G394" s="90"/>
      <c r="H394" s="90"/>
      <c r="I394" s="87"/>
      <c r="J394" s="71"/>
      <c r="K394" s="71"/>
      <c r="L394" s="71"/>
      <c r="M394" s="71"/>
      <c r="N394" s="71"/>
      <c r="O394" s="71"/>
      <c r="P394" s="71"/>
      <c r="Q394" s="71"/>
      <c r="R394" s="71"/>
      <c r="S394" s="71"/>
      <c r="T394" s="71"/>
      <c r="U394" s="342"/>
      <c r="V394" s="71"/>
      <c r="W394" s="71"/>
      <c r="X394" s="71"/>
      <c r="Y394" s="71"/>
      <c r="Z394" s="71"/>
      <c r="AA394" s="71"/>
      <c r="AB394" s="71"/>
      <c r="AC394" s="71"/>
      <c r="AD394" s="71"/>
      <c r="AE394" s="71"/>
      <c r="AF394" s="71"/>
      <c r="AG394" s="71"/>
      <c r="AH394" s="71"/>
      <c r="AI394" s="76"/>
    </row>
    <row r="395" spans="1:35">
      <c r="A395" s="59" t="s">
        <v>185</v>
      </c>
      <c r="B395" s="60" t="s">
        <v>186</v>
      </c>
      <c r="C395" s="78">
        <v>113</v>
      </c>
      <c r="D395" s="62" t="s">
        <v>27</v>
      </c>
      <c r="E395" s="63" t="str">
        <f>A395&amp;" "&amp;B395&amp;" "&amp;C395</f>
        <v>custom specs 113</v>
      </c>
      <c r="F395" s="63" t="str">
        <f t="shared" si="8"/>
        <v>custom specs 113 Max</v>
      </c>
      <c r="G395" s="89"/>
      <c r="H395" s="89"/>
      <c r="I395" s="86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341"/>
      <c r="V395" s="64"/>
      <c r="W395" s="64"/>
      <c r="X395" s="64"/>
      <c r="Y395" s="64"/>
      <c r="Z395" s="64"/>
      <c r="AA395" s="64"/>
      <c r="AB395" s="64"/>
      <c r="AC395" s="64"/>
      <c r="AD395" s="64"/>
      <c r="AE395" s="64"/>
      <c r="AF395" s="64"/>
      <c r="AG395" s="64"/>
      <c r="AH395" s="64"/>
      <c r="AI395" s="75"/>
    </row>
    <row r="396" spans="1:35">
      <c r="A396" s="65" t="s">
        <v>185</v>
      </c>
      <c r="B396" s="66" t="s">
        <v>186</v>
      </c>
      <c r="C396" s="79">
        <v>113</v>
      </c>
      <c r="D396" s="68" t="s">
        <v>26</v>
      </c>
      <c r="E396" s="69"/>
      <c r="F396" s="70" t="str">
        <f t="shared" si="8"/>
        <v>custom specs 113 Min</v>
      </c>
      <c r="G396" s="90"/>
      <c r="H396" s="90"/>
      <c r="I396" s="87"/>
      <c r="J396" s="71"/>
      <c r="K396" s="71"/>
      <c r="L396" s="71"/>
      <c r="M396" s="71"/>
      <c r="N396" s="71"/>
      <c r="O396" s="71"/>
      <c r="P396" s="71"/>
      <c r="Q396" s="71"/>
      <c r="R396" s="71"/>
      <c r="S396" s="71"/>
      <c r="T396" s="71"/>
      <c r="U396" s="342"/>
      <c r="V396" s="71"/>
      <c r="W396" s="71"/>
      <c r="X396" s="71"/>
      <c r="Y396" s="71"/>
      <c r="Z396" s="71"/>
      <c r="AA396" s="71"/>
      <c r="AB396" s="71"/>
      <c r="AC396" s="71"/>
      <c r="AD396" s="71"/>
      <c r="AE396" s="71"/>
      <c r="AF396" s="71"/>
      <c r="AG396" s="71"/>
      <c r="AH396" s="71"/>
      <c r="AI396" s="76"/>
    </row>
    <row r="397" spans="1:35">
      <c r="A397" s="59"/>
      <c r="B397" s="60"/>
      <c r="C397" s="78"/>
      <c r="D397" s="62" t="s">
        <v>27</v>
      </c>
      <c r="E397" s="63" t="str">
        <f>A397&amp;" "&amp;B397&amp;" "&amp;C397</f>
        <v xml:space="preserve">  </v>
      </c>
      <c r="F397" s="63" t="str">
        <f t="shared" si="8"/>
        <v xml:space="preserve">   Max</v>
      </c>
      <c r="G397" s="89"/>
      <c r="H397" s="89"/>
      <c r="I397" s="86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341"/>
      <c r="V397" s="64"/>
      <c r="W397" s="64"/>
      <c r="X397" s="64"/>
      <c r="Y397" s="64"/>
      <c r="Z397" s="64"/>
      <c r="AA397" s="64"/>
      <c r="AB397" s="64"/>
      <c r="AC397" s="64"/>
      <c r="AD397" s="64"/>
      <c r="AE397" s="64"/>
      <c r="AF397" s="64"/>
      <c r="AG397" s="64"/>
      <c r="AH397" s="64"/>
      <c r="AI397" s="75"/>
    </row>
    <row r="398" spans="1:35">
      <c r="A398" s="65"/>
      <c r="B398" s="66"/>
      <c r="C398" s="79"/>
      <c r="D398" s="68" t="s">
        <v>26</v>
      </c>
      <c r="E398" s="69"/>
      <c r="F398" s="70" t="str">
        <f t="shared" si="8"/>
        <v xml:space="preserve">   Min</v>
      </c>
      <c r="G398" s="90"/>
      <c r="H398" s="90"/>
      <c r="I398" s="87"/>
      <c r="J398" s="71"/>
      <c r="K398" s="71"/>
      <c r="L398" s="71"/>
      <c r="M398" s="71"/>
      <c r="N398" s="71"/>
      <c r="O398" s="71"/>
      <c r="P398" s="71"/>
      <c r="Q398" s="71"/>
      <c r="R398" s="71"/>
      <c r="S398" s="71"/>
      <c r="T398" s="71"/>
      <c r="U398" s="342"/>
      <c r="V398" s="71"/>
      <c r="W398" s="71"/>
      <c r="X398" s="71"/>
      <c r="Y398" s="71"/>
      <c r="Z398" s="71"/>
      <c r="AA398" s="71"/>
      <c r="AB398" s="71"/>
      <c r="AC398" s="71"/>
      <c r="AD398" s="71"/>
      <c r="AE398" s="71"/>
      <c r="AF398" s="71"/>
      <c r="AG398" s="71"/>
      <c r="AH398" s="71"/>
      <c r="AI398" s="76"/>
    </row>
  </sheetData>
  <phoneticPr fontId="0" type="noConversion"/>
  <printOptions gridLinesSet="0"/>
  <pageMargins left="0.5" right="0.5" top="0.75" bottom="0.75" header="0.5" footer="0.5"/>
  <pageSetup scale="62" fitToHeight="7" orientation="landscape" horizontalDpi="300" verticalDpi="30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29</vt:i4>
      </vt:variant>
    </vt:vector>
  </HeadingPairs>
  <TitlesOfParts>
    <vt:vector size="37" baseType="lpstr">
      <vt:lpstr>Sieve Data</vt:lpstr>
      <vt:lpstr>Sieve Report</vt:lpstr>
      <vt:lpstr>Proctor Data</vt:lpstr>
      <vt:lpstr>Proctor Report</vt:lpstr>
      <vt:lpstr>Moisture Content</vt:lpstr>
      <vt:lpstr>Hydrometer</vt:lpstr>
      <vt:lpstr>Atterberg Limits</vt:lpstr>
      <vt:lpstr>Specs</vt:lpstr>
      <vt:lpstr>CC</vt:lpstr>
      <vt:lpstr>Clay</vt:lpstr>
      <vt:lpstr>Coarse_Cummalitive</vt:lpstr>
      <vt:lpstr>Crushed</vt:lpstr>
      <vt:lpstr>CU</vt:lpstr>
      <vt:lpstr>Dry_Density</vt:lpstr>
      <vt:lpstr>Fineness_Modulus</vt:lpstr>
      <vt:lpstr>Fines_Cumulative</vt:lpstr>
      <vt:lpstr>Gravel</vt:lpstr>
      <vt:lpstr>Liquid_Limit</vt:lpstr>
      <vt:lpstr>Non_Plastic</vt:lpstr>
      <vt:lpstr>OptMoist</vt:lpstr>
      <vt:lpstr>Organic</vt:lpstr>
      <vt:lpstr>Plastic_Limit</vt:lpstr>
      <vt:lpstr>Plasticity_Index</vt:lpstr>
      <vt:lpstr>'Atterberg Limits'!Print_Area</vt:lpstr>
      <vt:lpstr>Hydrometer!Print_Area</vt:lpstr>
      <vt:lpstr>'Proctor Report'!Print_Area</vt:lpstr>
      <vt:lpstr>'Sieve Data'!Print_Area</vt:lpstr>
      <vt:lpstr>'Sieve Report'!Print_Area</vt:lpstr>
      <vt:lpstr>Specs!Print_Titles</vt:lpstr>
      <vt:lpstr>Sand</vt:lpstr>
      <vt:lpstr>Silt</vt:lpstr>
      <vt:lpstr>Silt_Clay</vt:lpstr>
      <vt:lpstr>Sp.Gr.</vt:lpstr>
      <vt:lpstr>Split</vt:lpstr>
      <vt:lpstr>Split_Percent</vt:lpstr>
      <vt:lpstr>Split_Weight</vt:lpstr>
      <vt:lpstr>Total_Weight</vt:lpstr>
    </vt:vector>
  </TitlesOfParts>
  <Company>Spears Engineering &amp; Technical Services, PS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 Frank Spears</dc:creator>
  <cp:lastModifiedBy>Admin</cp:lastModifiedBy>
  <cp:lastPrinted>2004-03-12T20:43:33Z</cp:lastPrinted>
  <dcterms:created xsi:type="dcterms:W3CDTF">1998-11-12T17:39:18Z</dcterms:created>
  <dcterms:modified xsi:type="dcterms:W3CDTF">2009-12-11T18:10:08Z</dcterms:modified>
</cp:coreProperties>
</file>