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175" windowHeight="5670"/>
  </bookViews>
  <sheets>
    <sheet name="&quot;R&quot; Value Data" sheetId="1" r:id="rId1"/>
    <sheet name="Chart1" sheetId="2" r:id="rId2"/>
    <sheet name="Chart2" sheetId="3" r:id="rId3"/>
  </sheets>
  <definedNames>
    <definedName name="Expansion_Points">'"R" Value Data'!$I$4:$I$6</definedName>
    <definedName name="Exudation_Points">'"R" Value Data'!$G$4:$G$6</definedName>
    <definedName name="Moisture">'"R" Value Data'!$B$4:$B$6</definedName>
    <definedName name="_xlnm.Print_Area" localSheetId="0">'"R" Value Data'!$A$1:$W$50</definedName>
    <definedName name="R_Value">'"R" Value Data'!$N$4:$N$6</definedName>
  </definedNames>
  <calcPr calcId="0"/>
</workbook>
</file>

<file path=xl/calcChain.xml><?xml version="1.0" encoding="utf-8"?>
<calcChain xmlns="http://schemas.openxmlformats.org/spreadsheetml/2006/main">
  <c r="U3" i="1" l="1"/>
  <c r="V3" i="1"/>
  <c r="D4" i="1"/>
  <c r="E4" i="1"/>
  <c r="G4" i="1"/>
  <c r="I4" i="1"/>
  <c r="L4" i="1"/>
  <c r="N4" i="1"/>
  <c r="O4" i="1"/>
  <c r="P4" i="1"/>
  <c r="Q4" i="1"/>
  <c r="R4" i="1"/>
  <c r="S4" i="1"/>
  <c r="U4" i="1"/>
  <c r="V4" i="1"/>
  <c r="D5" i="1"/>
  <c r="E5" i="1"/>
  <c r="G5" i="1"/>
  <c r="I5" i="1"/>
  <c r="L5" i="1"/>
  <c r="N5" i="1"/>
  <c r="O5" i="1"/>
  <c r="P5" i="1"/>
  <c r="Q5" i="1"/>
  <c r="R5" i="1"/>
  <c r="S5" i="1"/>
  <c r="U5" i="1"/>
  <c r="V5" i="1"/>
  <c r="D6" i="1"/>
  <c r="E6" i="1"/>
  <c r="G6" i="1"/>
  <c r="I6" i="1"/>
  <c r="L6" i="1"/>
  <c r="N6" i="1"/>
  <c r="O6" i="1"/>
  <c r="P6" i="1"/>
  <c r="Q6" i="1"/>
  <c r="R6" i="1"/>
  <c r="S6" i="1"/>
  <c r="O7" i="1"/>
  <c r="P7" i="1"/>
  <c r="Q7" i="1"/>
  <c r="R7" i="1"/>
  <c r="S7" i="1"/>
  <c r="I8" i="1"/>
  <c r="O8" i="1"/>
  <c r="P8" i="1"/>
  <c r="Q8" i="1"/>
  <c r="R8" i="1"/>
  <c r="S8" i="1"/>
  <c r="U8" i="1"/>
  <c r="U8" i="1" a="1"/>
  <c r="V8" i="1"/>
  <c r="O9" i="1"/>
  <c r="P9" i="1"/>
  <c r="Q9" i="1"/>
  <c r="R9" i="1"/>
  <c r="S9" i="1"/>
  <c r="U9" i="1"/>
  <c r="V9" i="1"/>
  <c r="O10" i="1"/>
  <c r="P10" i="1"/>
  <c r="Q10" i="1"/>
  <c r="R10" i="1"/>
  <c r="S10" i="1"/>
  <c r="U10" i="1"/>
  <c r="V10" i="1"/>
  <c r="O11" i="1"/>
  <c r="P11" i="1"/>
  <c r="Q11" i="1"/>
  <c r="R11" i="1"/>
  <c r="S11" i="1"/>
  <c r="O12" i="1"/>
  <c r="P12" i="1"/>
  <c r="Q12" i="1"/>
  <c r="R12" i="1"/>
  <c r="S12" i="1"/>
  <c r="O13" i="1"/>
  <c r="P13" i="1"/>
  <c r="Q13" i="1"/>
  <c r="R13" i="1"/>
  <c r="S13" i="1"/>
  <c r="U13" i="1"/>
  <c r="U13" i="1" a="1"/>
  <c r="V13" i="1"/>
  <c r="O14" i="1"/>
  <c r="P14" i="1"/>
  <c r="Q14" i="1"/>
  <c r="R14" i="1"/>
  <c r="S14" i="1"/>
  <c r="U14" i="1"/>
  <c r="V14" i="1"/>
  <c r="O15" i="1"/>
  <c r="P15" i="1"/>
  <c r="Q15" i="1"/>
  <c r="R15" i="1"/>
  <c r="S15" i="1"/>
  <c r="U15" i="1"/>
  <c r="V15" i="1"/>
  <c r="O16" i="1"/>
  <c r="P16" i="1"/>
  <c r="Q16" i="1"/>
  <c r="R16" i="1"/>
  <c r="S16" i="1"/>
  <c r="O17" i="1"/>
  <c r="P17" i="1"/>
  <c r="Q17" i="1"/>
  <c r="R17" i="1"/>
  <c r="S17" i="1"/>
  <c r="O18" i="1"/>
  <c r="P18" i="1"/>
  <c r="Q18" i="1"/>
  <c r="R18" i="1"/>
  <c r="S18" i="1"/>
  <c r="O19" i="1"/>
  <c r="P19" i="1"/>
  <c r="Q19" i="1"/>
  <c r="R19" i="1"/>
  <c r="S19" i="1"/>
  <c r="O20" i="1"/>
  <c r="P20" i="1"/>
  <c r="Q20" i="1"/>
  <c r="R20" i="1"/>
  <c r="S20" i="1"/>
  <c r="O21" i="1"/>
  <c r="P21" i="1"/>
  <c r="Q21" i="1"/>
  <c r="R21" i="1"/>
  <c r="S21" i="1"/>
  <c r="O22" i="1"/>
  <c r="P22" i="1"/>
  <c r="Q22" i="1"/>
  <c r="R22" i="1"/>
  <c r="S22" i="1"/>
  <c r="O23" i="1"/>
  <c r="P23" i="1"/>
  <c r="Q23" i="1"/>
  <c r="R23" i="1"/>
  <c r="S23" i="1"/>
  <c r="O24" i="1"/>
  <c r="P24" i="1"/>
  <c r="Q24" i="1"/>
  <c r="R24" i="1"/>
  <c r="S24" i="1"/>
  <c r="O25" i="1"/>
  <c r="P25" i="1"/>
  <c r="Q25" i="1"/>
  <c r="R25" i="1"/>
  <c r="S25" i="1"/>
  <c r="O26" i="1"/>
  <c r="P26" i="1"/>
  <c r="Q26" i="1"/>
  <c r="R26" i="1"/>
  <c r="S26" i="1"/>
  <c r="U26" i="1"/>
  <c r="V26" i="1"/>
  <c r="W26" i="1"/>
  <c r="O27" i="1"/>
  <c r="P27" i="1"/>
  <c r="Q27" i="1"/>
  <c r="R27" i="1"/>
  <c r="S27" i="1"/>
  <c r="U27" i="1"/>
  <c r="V27" i="1"/>
  <c r="W27" i="1"/>
  <c r="O28" i="1"/>
  <c r="P28" i="1"/>
  <c r="Q28" i="1"/>
  <c r="R28" i="1"/>
  <c r="S28" i="1"/>
  <c r="U28" i="1"/>
  <c r="V28" i="1"/>
  <c r="W28" i="1"/>
  <c r="O29" i="1"/>
  <c r="P29" i="1"/>
  <c r="Q29" i="1"/>
  <c r="R29" i="1"/>
  <c r="S29" i="1"/>
  <c r="U29" i="1"/>
  <c r="V29" i="1"/>
  <c r="W29" i="1"/>
  <c r="O30" i="1"/>
  <c r="P30" i="1"/>
  <c r="Q30" i="1"/>
  <c r="R30" i="1"/>
  <c r="S30" i="1"/>
  <c r="U30" i="1"/>
  <c r="V30" i="1"/>
  <c r="W30" i="1"/>
  <c r="O31" i="1"/>
  <c r="P31" i="1"/>
  <c r="Q31" i="1"/>
  <c r="R31" i="1"/>
  <c r="S31" i="1"/>
  <c r="O32" i="1"/>
  <c r="P32" i="1"/>
  <c r="Q32" i="1"/>
  <c r="R32" i="1"/>
  <c r="S32" i="1"/>
  <c r="O33" i="1"/>
  <c r="P33" i="1"/>
  <c r="Q33" i="1"/>
  <c r="R33" i="1"/>
  <c r="S33" i="1"/>
  <c r="O34" i="1"/>
  <c r="P34" i="1"/>
  <c r="Q34" i="1"/>
  <c r="R34" i="1"/>
  <c r="S34" i="1"/>
  <c r="V34" i="1"/>
  <c r="W34" i="1"/>
  <c r="O35" i="1"/>
  <c r="P35" i="1"/>
  <c r="Q35" i="1"/>
  <c r="R35" i="1"/>
  <c r="S35" i="1"/>
  <c r="V35" i="1"/>
  <c r="W35" i="1"/>
  <c r="O36" i="1"/>
  <c r="P36" i="1"/>
  <c r="Q36" i="1"/>
  <c r="R36" i="1"/>
  <c r="S36" i="1"/>
  <c r="V36" i="1"/>
  <c r="W36" i="1"/>
  <c r="O37" i="1"/>
  <c r="P37" i="1"/>
  <c r="Q37" i="1"/>
  <c r="R37" i="1"/>
  <c r="S37" i="1"/>
  <c r="O38" i="1"/>
  <c r="P38" i="1"/>
  <c r="Q38" i="1"/>
  <c r="R38" i="1"/>
  <c r="S38" i="1"/>
  <c r="O39" i="1"/>
  <c r="P39" i="1"/>
  <c r="Q39" i="1"/>
  <c r="R39" i="1"/>
  <c r="S39" i="1"/>
  <c r="V39" i="1"/>
  <c r="V39" i="1" a="1"/>
  <c r="W39" i="1"/>
  <c r="O40" i="1"/>
  <c r="P40" i="1"/>
  <c r="Q40" i="1"/>
  <c r="R40" i="1"/>
  <c r="S40" i="1"/>
  <c r="V40" i="1"/>
  <c r="W40" i="1"/>
  <c r="O41" i="1"/>
  <c r="P41" i="1"/>
  <c r="Q41" i="1"/>
  <c r="R41" i="1"/>
  <c r="S41" i="1"/>
  <c r="V41" i="1"/>
  <c r="W41" i="1"/>
  <c r="O42" i="1"/>
  <c r="P42" i="1"/>
  <c r="Q42" i="1"/>
  <c r="R42" i="1"/>
  <c r="S42" i="1"/>
  <c r="O43" i="1"/>
  <c r="P43" i="1"/>
  <c r="Q43" i="1"/>
  <c r="R43" i="1"/>
  <c r="S43" i="1"/>
  <c r="V43" i="1"/>
  <c r="W43" i="1"/>
  <c r="O44" i="1"/>
  <c r="P44" i="1"/>
  <c r="Q44" i="1"/>
  <c r="R44" i="1"/>
  <c r="S44" i="1"/>
  <c r="V44" i="1"/>
  <c r="W44" i="1"/>
  <c r="O45" i="1"/>
  <c r="P45" i="1"/>
  <c r="Q45" i="1"/>
  <c r="R45" i="1"/>
  <c r="S45" i="1"/>
  <c r="V45" i="1"/>
  <c r="W45" i="1"/>
  <c r="O46" i="1"/>
  <c r="P46" i="1"/>
  <c r="Q46" i="1"/>
  <c r="R46" i="1"/>
  <c r="S46" i="1"/>
  <c r="O47" i="1"/>
  <c r="P47" i="1"/>
  <c r="Q47" i="1"/>
  <c r="R47" i="1"/>
  <c r="S47" i="1"/>
  <c r="O48" i="1"/>
  <c r="P48" i="1"/>
  <c r="Q48" i="1"/>
  <c r="R48" i="1"/>
  <c r="S48" i="1"/>
  <c r="V48" i="1"/>
  <c r="V48" i="1" a="1"/>
  <c r="O49" i="1"/>
  <c r="P49" i="1"/>
  <c r="Q49" i="1"/>
  <c r="R49" i="1"/>
  <c r="S49" i="1"/>
  <c r="V49" i="1"/>
  <c r="V50" i="1"/>
</calcChain>
</file>

<file path=xl/sharedStrings.xml><?xml version="1.0" encoding="utf-8"?>
<sst xmlns="http://schemas.openxmlformats.org/spreadsheetml/2006/main" count="58" uniqueCount="42">
  <si>
    <t>Point</t>
  </si>
  <si>
    <t>Percent</t>
  </si>
  <si>
    <t>Sample</t>
  </si>
  <si>
    <t>Wet Unit</t>
  </si>
  <si>
    <t>Dry Unit</t>
  </si>
  <si>
    <t>Applied</t>
  </si>
  <si>
    <t>Exudation</t>
  </si>
  <si>
    <t>Swell</t>
  </si>
  <si>
    <t>Expansion</t>
  </si>
  <si>
    <t>Horizontal</t>
  </si>
  <si>
    <t># of</t>
  </si>
  <si>
    <t>R</t>
  </si>
  <si>
    <t>Corrected</t>
  </si>
  <si>
    <t>y=ax^2+bx+c</t>
  </si>
  <si>
    <t>M</t>
  </si>
  <si>
    <t>#</t>
  </si>
  <si>
    <t>Moisture</t>
  </si>
  <si>
    <t>Weight</t>
  </si>
  <si>
    <t>Load (lbs)</t>
  </si>
  <si>
    <t>Pressure</t>
  </si>
  <si>
    <t>Reading</t>
  </si>
  <si>
    <t>Pressure (psi)</t>
  </si>
  <si>
    <t>Turns</t>
  </si>
  <si>
    <t>Value</t>
  </si>
  <si>
    <t>Height (in)</t>
  </si>
  <si>
    <t>R Value</t>
  </si>
  <si>
    <t>x</t>
  </si>
  <si>
    <t>y1</t>
  </si>
  <si>
    <t>y2</t>
  </si>
  <si>
    <t>x2</t>
  </si>
  <si>
    <t>Y (Exudation)</t>
  </si>
  <si>
    <t>R Value @ 300 psi Exudation Pressure:</t>
  </si>
  <si>
    <t>C=</t>
  </si>
  <si>
    <t>B=</t>
  </si>
  <si>
    <t>A=</t>
  </si>
  <si>
    <t>Y (Expansion)</t>
  </si>
  <si>
    <t>C</t>
  </si>
  <si>
    <t>B</t>
  </si>
  <si>
    <t>A</t>
  </si>
  <si>
    <t>Point Number</t>
  </si>
  <si>
    <t>Height</t>
  </si>
  <si>
    <t>Y (R 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</si>
</sst>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6" formatCode="0.0"/>
    <numFmt numFmtId="167" formatCode="0.0\ %"/>
    <numFmt numFmtId="168" formatCode="#,##0.0"/>
    <numFmt numFmtId="170" formatCode="0.000"/>
  </numFmts>
  <fonts count="9" x14ac:knownFonts="1">
    <font>
      <sz val="10"/>
      <name val="Helv"/>
    </font>
    <font>
      <sz val="10"/>
      <name val="Helv"/>
    </font>
    <font>
      <b/>
      <sz val="8"/>
      <name val="Futura"/>
      <family val="2"/>
    </font>
    <font>
      <sz val="8"/>
      <name val="Futura"/>
      <family val="2"/>
    </font>
    <font>
      <b/>
      <sz val="7"/>
      <name val="Futura"/>
      <family val="2"/>
    </font>
    <font>
      <sz val="7"/>
      <name val="Futura"/>
      <family val="2"/>
    </font>
    <font>
      <b/>
      <sz val="8"/>
      <name val="Futura"/>
    </font>
    <font>
      <sz val="8"/>
      <name val="Futura"/>
    </font>
    <font>
      <sz val="8"/>
      <name val="Helv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4" fontId="3" fillId="0" borderId="1" xfId="0" applyNumberFormat="1" applyFont="1" applyBorder="1" applyAlignment="1" applyProtection="1">
      <alignment horizontal="center"/>
    </xf>
    <xf numFmtId="4" fontId="3" fillId="0" borderId="2" xfId="0" applyNumberFormat="1" applyFont="1" applyBorder="1" applyAlignment="1" applyProtection="1">
      <alignment horizontal="center"/>
    </xf>
    <xf numFmtId="4" fontId="3" fillId="0" borderId="3" xfId="0" applyNumberFormat="1" applyFont="1" applyBorder="1" applyAlignment="1" applyProtection="1">
      <alignment horizontal="center"/>
    </xf>
    <xf numFmtId="3" fontId="3" fillId="0" borderId="0" xfId="0" applyNumberFormat="1" applyFont="1" applyAlignment="1" applyProtection="1">
      <alignment horizontal="center"/>
    </xf>
    <xf numFmtId="2" fontId="3" fillId="0" borderId="0" xfId="0" applyNumberFormat="1" applyFont="1" applyAlignment="1" applyProtection="1">
      <alignment horizontal="center"/>
    </xf>
    <xf numFmtId="167" fontId="3" fillId="0" borderId="0" xfId="0" applyNumberFormat="1" applyFont="1" applyAlignment="1" applyProtection="1">
      <alignment horizontal="center"/>
    </xf>
    <xf numFmtId="4" fontId="3" fillId="0" borderId="4" xfId="0" applyNumberFormat="1" applyFont="1" applyBorder="1" applyAlignment="1" applyProtection="1">
      <alignment horizontal="center"/>
    </xf>
    <xf numFmtId="4" fontId="3" fillId="0" borderId="0" xfId="0" applyNumberFormat="1" applyFont="1" applyBorder="1" applyAlignment="1" applyProtection="1">
      <alignment horizontal="center"/>
    </xf>
    <xf numFmtId="4" fontId="3" fillId="0" borderId="5" xfId="0" applyNumberFormat="1" applyFont="1" applyBorder="1" applyAlignment="1" applyProtection="1">
      <alignment horizontal="center"/>
    </xf>
    <xf numFmtId="4" fontId="3" fillId="0" borderId="6" xfId="0" applyNumberFormat="1" applyFont="1" applyBorder="1" applyAlignment="1" applyProtection="1">
      <alignment horizontal="center"/>
    </xf>
    <xf numFmtId="4" fontId="3" fillId="0" borderId="7" xfId="0" applyNumberFormat="1" applyFont="1" applyBorder="1" applyAlignment="1" applyProtection="1">
      <alignment horizontal="center"/>
    </xf>
    <xf numFmtId="4" fontId="3" fillId="0" borderId="8" xfId="0" applyNumberFormat="1" applyFont="1" applyBorder="1" applyAlignment="1" applyProtection="1">
      <alignment horizontal="center"/>
    </xf>
    <xf numFmtId="2" fontId="2" fillId="0" borderId="0" xfId="0" applyNumberFormat="1" applyFont="1" applyAlignment="1" applyProtection="1">
      <alignment horizontal="center"/>
    </xf>
    <xf numFmtId="2" fontId="2" fillId="0" borderId="0" xfId="0" applyNumberFormat="1" applyFont="1" applyAlignment="1" applyProtection="1">
      <alignment horizontal="right"/>
    </xf>
    <xf numFmtId="2" fontId="3" fillId="0" borderId="0" xfId="0" applyNumberFormat="1" applyFont="1" applyAlignment="1" applyProtection="1">
      <alignment horizontal="left"/>
    </xf>
    <xf numFmtId="2" fontId="3" fillId="0" borderId="9" xfId="0" applyNumberFormat="1" applyFont="1" applyBorder="1" applyAlignment="1" applyProtection="1">
      <alignment horizontal="center"/>
    </xf>
    <xf numFmtId="2" fontId="3" fillId="0" borderId="10" xfId="0" applyNumberFormat="1" applyFont="1" applyBorder="1" applyAlignment="1" applyProtection="1">
      <alignment horizontal="center"/>
    </xf>
    <xf numFmtId="167" fontId="2" fillId="0" borderId="0" xfId="0" applyNumberFormat="1" applyFont="1" applyAlignment="1" applyProtection="1">
      <alignment horizontal="left"/>
    </xf>
    <xf numFmtId="2" fontId="3" fillId="0" borderId="11" xfId="0" applyNumberFormat="1" applyFont="1" applyBorder="1" applyAlignment="1" applyProtection="1">
      <alignment horizontal="center"/>
    </xf>
    <xf numFmtId="1" fontId="2" fillId="0" borderId="0" xfId="0" applyNumberFormat="1" applyFont="1" applyAlignment="1" applyProtection="1">
      <alignment horizontal="center"/>
    </xf>
    <xf numFmtId="167" fontId="3" fillId="0" borderId="1" xfId="0" applyNumberFormat="1" applyFont="1" applyBorder="1" applyAlignment="1" applyProtection="1">
      <alignment horizontal="center"/>
    </xf>
    <xf numFmtId="167" fontId="3" fillId="0" borderId="2" xfId="0" applyNumberFormat="1" applyFont="1" applyBorder="1" applyAlignment="1" applyProtection="1">
      <alignment horizontal="center"/>
    </xf>
    <xf numFmtId="167" fontId="3" fillId="0" borderId="3" xfId="0" applyNumberFormat="1" applyFont="1" applyBorder="1" applyAlignment="1" applyProtection="1">
      <alignment horizontal="center"/>
    </xf>
    <xf numFmtId="167" fontId="3" fillId="0" borderId="4" xfId="0" applyNumberFormat="1" applyFont="1" applyBorder="1" applyAlignment="1" applyProtection="1">
      <alignment horizontal="center"/>
    </xf>
    <xf numFmtId="167" fontId="3" fillId="0" borderId="0" xfId="0" applyNumberFormat="1" applyFont="1" applyBorder="1" applyAlignment="1" applyProtection="1">
      <alignment horizontal="center"/>
    </xf>
    <xf numFmtId="167" fontId="3" fillId="0" borderId="5" xfId="0" applyNumberFormat="1" applyFont="1" applyBorder="1" applyAlignment="1" applyProtection="1">
      <alignment horizontal="center"/>
    </xf>
    <xf numFmtId="167" fontId="3" fillId="0" borderId="6" xfId="0" applyNumberFormat="1" applyFont="1" applyBorder="1" applyAlignment="1" applyProtection="1">
      <alignment horizontal="center"/>
    </xf>
    <xf numFmtId="167" fontId="3" fillId="0" borderId="7" xfId="0" applyNumberFormat="1" applyFont="1" applyBorder="1" applyAlignment="1" applyProtection="1">
      <alignment horizontal="center"/>
    </xf>
    <xf numFmtId="167" fontId="3" fillId="0" borderId="8" xfId="0" applyNumberFormat="1" applyFont="1" applyBorder="1" applyAlignment="1" applyProtection="1">
      <alignment horizontal="center"/>
    </xf>
    <xf numFmtId="2" fontId="3" fillId="0" borderId="0" xfId="0" applyNumberFormat="1" applyFont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5" fillId="0" borderId="0" xfId="0" applyFont="1" applyProtection="1"/>
    <xf numFmtId="4" fontId="5" fillId="0" borderId="1" xfId="0" applyNumberFormat="1" applyFont="1" applyBorder="1" applyAlignment="1" applyProtection="1">
      <alignment horizontal="center"/>
    </xf>
    <xf numFmtId="4" fontId="5" fillId="0" borderId="2" xfId="0" applyNumberFormat="1" applyFont="1" applyBorder="1" applyAlignment="1" applyProtection="1">
      <alignment horizontal="center"/>
    </xf>
    <xf numFmtId="4" fontId="5" fillId="0" borderId="3" xfId="0" applyNumberFormat="1" applyFont="1" applyBorder="1" applyAlignment="1" applyProtection="1">
      <alignment horizontal="center"/>
    </xf>
    <xf numFmtId="0" fontId="3" fillId="2" borderId="12" xfId="0" applyFont="1" applyFill="1" applyBorder="1" applyAlignment="1" applyProtection="1">
      <alignment horizontal="center"/>
    </xf>
    <xf numFmtId="167" fontId="3" fillId="2" borderId="2" xfId="0" applyNumberFormat="1" applyFont="1" applyFill="1" applyBorder="1" applyAlignment="1" applyProtection="1">
      <alignment horizontal="center"/>
      <protection locked="0"/>
    </xf>
    <xf numFmtId="168" fontId="3" fillId="2" borderId="2" xfId="0" applyNumberFormat="1" applyFont="1" applyFill="1" applyBorder="1" applyAlignment="1" applyProtection="1">
      <alignment horizontal="center"/>
      <protection locked="0"/>
    </xf>
    <xf numFmtId="168" fontId="3" fillId="2" borderId="2" xfId="0" applyNumberFormat="1" applyFont="1" applyFill="1" applyBorder="1" applyAlignment="1" applyProtection="1">
      <alignment horizontal="center"/>
    </xf>
    <xf numFmtId="3" fontId="3" fillId="2" borderId="2" xfId="0" applyNumberFormat="1" applyFont="1" applyFill="1" applyBorder="1" applyAlignment="1" applyProtection="1">
      <alignment horizontal="center"/>
      <protection locked="0" hidden="1"/>
    </xf>
    <xf numFmtId="3" fontId="6" fillId="2" borderId="2" xfId="0" applyNumberFormat="1" applyFont="1" applyFill="1" applyBorder="1" applyAlignment="1" applyProtection="1">
      <alignment horizontal="center"/>
      <protection hidden="1"/>
    </xf>
    <xf numFmtId="170" fontId="3" fillId="2" borderId="2" xfId="0" applyNumberFormat="1" applyFont="1" applyFill="1" applyBorder="1" applyAlignment="1" applyProtection="1">
      <alignment horizontal="center"/>
      <protection hidden="1"/>
    </xf>
    <xf numFmtId="166" fontId="3" fillId="2" borderId="2" xfId="0" applyNumberFormat="1" applyFont="1" applyFill="1" applyBorder="1" applyAlignment="1" applyProtection="1">
      <alignment horizontal="center"/>
      <protection locked="0"/>
    </xf>
    <xf numFmtId="4" fontId="3" fillId="2" borderId="2" xfId="0" applyNumberFormat="1" applyFont="1" applyFill="1" applyBorder="1" applyAlignment="1" applyProtection="1">
      <alignment horizontal="center"/>
      <protection locked="0"/>
    </xf>
    <xf numFmtId="168" fontId="6" fillId="2" borderId="13" xfId="0" applyNumberFormat="1" applyFont="1" applyFill="1" applyBorder="1" applyAlignment="1" applyProtection="1">
      <alignment horizontal="center"/>
    </xf>
    <xf numFmtId="0" fontId="3" fillId="2" borderId="14" xfId="0" applyFont="1" applyFill="1" applyBorder="1" applyAlignment="1" applyProtection="1">
      <alignment horizontal="center"/>
    </xf>
    <xf numFmtId="167" fontId="3" fillId="2" borderId="0" xfId="0" applyNumberFormat="1" applyFont="1" applyFill="1" applyBorder="1" applyAlignment="1" applyProtection="1">
      <alignment horizontal="center"/>
      <protection locked="0"/>
    </xf>
    <xf numFmtId="168" fontId="3" fillId="2" borderId="0" xfId="0" applyNumberFormat="1" applyFont="1" applyFill="1" applyBorder="1" applyAlignment="1" applyProtection="1">
      <alignment horizontal="center"/>
      <protection locked="0"/>
    </xf>
    <xf numFmtId="168" fontId="3" fillId="2" borderId="0" xfId="0" applyNumberFormat="1" applyFont="1" applyFill="1" applyBorder="1" applyAlignment="1" applyProtection="1">
      <alignment horizontal="center"/>
    </xf>
    <xf numFmtId="3" fontId="3" fillId="2" borderId="0" xfId="0" applyNumberFormat="1" applyFont="1" applyFill="1" applyBorder="1" applyAlignment="1" applyProtection="1">
      <alignment horizontal="center"/>
      <protection locked="0" hidden="1"/>
    </xf>
    <xf numFmtId="3" fontId="6" fillId="2" borderId="0" xfId="0" applyNumberFormat="1" applyFont="1" applyFill="1" applyBorder="1" applyAlignment="1" applyProtection="1">
      <alignment horizontal="center"/>
      <protection hidden="1"/>
    </xf>
    <xf numFmtId="170" fontId="3" fillId="2" borderId="0" xfId="0" applyNumberFormat="1" applyFont="1" applyFill="1" applyBorder="1" applyAlignment="1" applyProtection="1">
      <alignment horizontal="center"/>
      <protection hidden="1"/>
    </xf>
    <xf numFmtId="166" fontId="3" fillId="2" borderId="0" xfId="0" applyNumberFormat="1" applyFont="1" applyFill="1" applyBorder="1" applyAlignment="1" applyProtection="1">
      <alignment horizontal="center"/>
      <protection locked="0" hidden="1"/>
    </xf>
    <xf numFmtId="4" fontId="3" fillId="2" borderId="0" xfId="0" applyNumberFormat="1" applyFont="1" applyFill="1" applyBorder="1" applyAlignment="1" applyProtection="1">
      <alignment horizontal="center"/>
      <protection locked="0" hidden="1"/>
    </xf>
    <xf numFmtId="4" fontId="3" fillId="2" borderId="0" xfId="0" applyNumberFormat="1" applyFont="1" applyFill="1" applyBorder="1" applyAlignment="1" applyProtection="1">
      <alignment horizontal="center"/>
      <protection locked="0"/>
    </xf>
    <xf numFmtId="168" fontId="6" fillId="2" borderId="15" xfId="0" applyNumberFormat="1" applyFont="1" applyFill="1" applyBorder="1" applyAlignment="1" applyProtection="1">
      <alignment horizontal="center"/>
    </xf>
    <xf numFmtId="166" fontId="3" fillId="2" borderId="0" xfId="0" applyNumberFormat="1" applyFont="1" applyFill="1" applyBorder="1" applyAlignment="1" applyProtection="1">
      <alignment horizontal="center"/>
    </xf>
    <xf numFmtId="166" fontId="3" fillId="2" borderId="0" xfId="0" applyNumberFormat="1" applyFont="1" applyFill="1" applyBorder="1" applyAlignment="1" applyProtection="1">
      <alignment horizontal="center"/>
      <protection hidden="1"/>
    </xf>
    <xf numFmtId="166" fontId="2" fillId="2" borderId="0" xfId="0" applyNumberFormat="1" applyFont="1" applyFill="1" applyBorder="1" applyAlignment="1" applyProtection="1">
      <alignment horizontal="center"/>
      <protection hidden="1"/>
    </xf>
    <xf numFmtId="0" fontId="2" fillId="2" borderId="0" xfId="0" applyFont="1" applyFill="1" applyBorder="1" applyProtection="1"/>
    <xf numFmtId="166" fontId="3" fillId="2" borderId="15" xfId="0" applyNumberFormat="1" applyFont="1" applyFill="1" applyBorder="1" applyAlignment="1" applyProtection="1">
      <alignment horizontal="center"/>
      <protection hidden="1"/>
    </xf>
    <xf numFmtId="0" fontId="8" fillId="2" borderId="0" xfId="0" applyFont="1" applyFill="1"/>
    <xf numFmtId="166" fontId="2" fillId="2" borderId="0" xfId="0" applyNumberFormat="1" applyFont="1" applyFill="1" applyBorder="1" applyAlignment="1" applyProtection="1">
      <alignment horizontal="right"/>
    </xf>
    <xf numFmtId="0" fontId="3" fillId="2" borderId="16" xfId="0" applyFont="1" applyFill="1" applyBorder="1" applyProtection="1"/>
    <xf numFmtId="0" fontId="3" fillId="2" borderId="17" xfId="0" applyFont="1" applyFill="1" applyBorder="1" applyProtection="1"/>
    <xf numFmtId="0" fontId="2" fillId="2" borderId="17" xfId="0" applyFont="1" applyFill="1" applyBorder="1" applyProtection="1"/>
    <xf numFmtId="0" fontId="3" fillId="2" borderId="18" xfId="0" applyFont="1" applyFill="1" applyBorder="1" applyProtection="1"/>
    <xf numFmtId="0" fontId="3" fillId="3" borderId="19" xfId="0" applyFont="1" applyFill="1" applyBorder="1" applyProtection="1"/>
    <xf numFmtId="0" fontId="3" fillId="3" borderId="20" xfId="0" applyFont="1" applyFill="1" applyBorder="1" applyProtection="1"/>
    <xf numFmtId="0" fontId="3" fillId="3" borderId="20" xfId="0" applyFont="1" applyFill="1" applyBorder="1" applyAlignment="1" applyProtection="1">
      <alignment horizontal="center"/>
    </xf>
    <xf numFmtId="0" fontId="3" fillId="3" borderId="21" xfId="0" applyFont="1" applyFill="1" applyBorder="1" applyAlignment="1" applyProtection="1">
      <alignment horizontal="center"/>
    </xf>
    <xf numFmtId="0" fontId="7" fillId="3" borderId="14" xfId="0" applyFont="1" applyFill="1" applyBorder="1" applyAlignment="1" applyProtection="1">
      <alignment horizontal="center"/>
    </xf>
    <xf numFmtId="0" fontId="7" fillId="3" borderId="0" xfId="0" applyFont="1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/>
    </xf>
    <xf numFmtId="0" fontId="7" fillId="3" borderId="0" xfId="0" applyFont="1" applyFill="1" applyBorder="1" applyAlignment="1" applyProtection="1">
      <alignment horizontal="center"/>
      <protection hidden="1"/>
    </xf>
    <xf numFmtId="0" fontId="2" fillId="3" borderId="15" xfId="0" applyFont="1" applyFill="1" applyBorder="1" applyAlignment="1" applyProtection="1">
      <alignment horizontal="center"/>
      <protection hidden="1"/>
    </xf>
    <xf numFmtId="0" fontId="2" fillId="3" borderId="15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Peignot Medium"/>
                <a:ea typeface="Peignot Medium"/>
                <a:cs typeface="Peignot Medium"/>
              </a:defRPr>
            </a:pPr>
            <a:r>
              <a:t>"R" Value Curves</a:t>
            </a:r>
          </a:p>
        </c:rich>
      </c:tx>
      <c:layout>
        <c:manualLayout>
          <c:xMode val="edge"/>
          <c:yMode val="edge"/>
          <c:x val="0.40732519422863483"/>
          <c:y val="1.95758564437194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4372918978912314E-2"/>
          <c:y val="7.01468189233279E-2"/>
          <c:w val="0.86681465038845729"/>
          <c:h val="0.69168026101141922"/>
        </c:manualLayout>
      </c:layout>
      <c:scatterChart>
        <c:scatterStyle val="lineMarker"/>
        <c:varyColors val="0"/>
        <c:ser>
          <c:idx val="0"/>
          <c:order val="0"/>
          <c:tx>
            <c:v>Exudation Points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'"R" Value Data'!$N$4:$N$6</c:f>
              <c:numCache>
                <c:formatCode>#,##0.0</c:formatCode>
                <c:ptCount val="3"/>
                <c:pt idx="0">
                  <c:v>44.261149185772489</c:v>
                </c:pt>
                <c:pt idx="1">
                  <c:v>31.50105733084445</c:v>
                </c:pt>
                <c:pt idx="2">
                  <c:v>16.300331820001109</c:v>
                </c:pt>
              </c:numCache>
            </c:numRef>
          </c:xVal>
          <c:yVal>
            <c:numRef>
              <c:f>'"R" Value Data'!$G$4:$G$6</c:f>
              <c:numCache>
                <c:formatCode>#,##0</c:formatCode>
                <c:ptCount val="3"/>
                <c:pt idx="0">
                  <c:v>626.67258842433796</c:v>
                </c:pt>
                <c:pt idx="1">
                  <c:v>270.5634032562221</c:v>
                </c:pt>
                <c:pt idx="2">
                  <c:v>101.46127622108328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36256"/>
        <c:axId val="95538560"/>
      </c:scatterChart>
      <c:scatterChart>
        <c:scatterStyle val="lineMarker"/>
        <c:varyColors val="0"/>
        <c:ser>
          <c:idx val="1"/>
          <c:order val="1"/>
          <c:tx>
            <c:v>Expansion Points</c:v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xVal>
            <c:numRef>
              <c:f>'"R" Value Data'!$N$4:$N$6</c:f>
              <c:numCache>
                <c:formatCode>#,##0.0</c:formatCode>
                <c:ptCount val="3"/>
                <c:pt idx="0">
                  <c:v>44.261149185772489</c:v>
                </c:pt>
                <c:pt idx="1">
                  <c:v>31.50105733084445</c:v>
                </c:pt>
                <c:pt idx="2">
                  <c:v>16.300331820001109</c:v>
                </c:pt>
              </c:numCache>
            </c:numRef>
          </c:xVal>
          <c:yVal>
            <c:numRef>
              <c:f>'"R" Value Data'!$I$4:$I$6</c:f>
              <c:numCache>
                <c:formatCode>0.000</c:formatCode>
                <c:ptCount val="3"/>
                <c:pt idx="0">
                  <c:v>0.06</c:v>
                </c:pt>
                <c:pt idx="1">
                  <c:v>0.12</c:v>
                </c:pt>
                <c:pt idx="2">
                  <c:v>0.15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44832"/>
        <c:axId val="95546368"/>
      </c:scatterChart>
      <c:valAx>
        <c:axId val="95536256"/>
        <c:scaling>
          <c:orientation val="minMax"/>
          <c:max val="50"/>
          <c:min val="10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"R" Value</a:t>
                </a:r>
              </a:p>
            </c:rich>
          </c:tx>
          <c:layout>
            <c:manualLayout>
              <c:xMode val="edge"/>
              <c:yMode val="edge"/>
              <c:x val="0.46059933407325193"/>
              <c:y val="0.81566068515497558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95538560"/>
        <c:crosses val="autoZero"/>
        <c:crossBetween val="midCat"/>
        <c:majorUnit val="10"/>
        <c:minorUnit val="2"/>
      </c:valAx>
      <c:valAx>
        <c:axId val="95538560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Exudation Pressure, psi</a:t>
                </a:r>
              </a:p>
            </c:rich>
          </c:tx>
          <c:layout>
            <c:manualLayout>
              <c:xMode val="edge"/>
              <c:yMode val="edge"/>
              <c:x val="0"/>
              <c:y val="0.29200652528548127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95536256"/>
        <c:crosses val="autoZero"/>
        <c:crossBetween val="midCat"/>
        <c:majorUnit val="300"/>
        <c:minorUnit val="50"/>
      </c:valAx>
      <c:valAx>
        <c:axId val="95544832"/>
        <c:scaling>
          <c:orientation val="minMax"/>
        </c:scaling>
        <c:delete val="1"/>
        <c:axPos val="b"/>
        <c:numFmt formatCode="#,##0.0" sourceLinked="1"/>
        <c:majorTickMark val="out"/>
        <c:minorTickMark val="none"/>
        <c:tickLblPos val="nextTo"/>
        <c:crossAx val="95546368"/>
        <c:crosses val="autoZero"/>
        <c:crossBetween val="midCat"/>
      </c:valAx>
      <c:valAx>
        <c:axId val="95546368"/>
        <c:scaling>
          <c:orientation val="minMax"/>
          <c:max val="1"/>
        </c:scaling>
        <c:delete val="0"/>
        <c:axPos val="r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Expansion Pressure, psi</a:t>
                </a:r>
              </a:p>
            </c:rich>
          </c:tx>
          <c:layout>
            <c:manualLayout>
              <c:xMode val="edge"/>
              <c:yMode val="edge"/>
              <c:x val="0.97225305216426194"/>
              <c:y val="0.2903752039151713"/>
            </c:manualLayout>
          </c:layout>
          <c:overlay val="0"/>
          <c:spPr>
            <a:noFill/>
            <a:ln w="25400">
              <a:noFill/>
            </a:ln>
          </c:spPr>
        </c:title>
        <c:numFmt formatCode="0.000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95544832"/>
        <c:crosses val="max"/>
        <c:crossBetween val="midCat"/>
        <c:majorUnit val="0.2"/>
        <c:minorUnit val="0.05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.3607103218645949"/>
          <c:y val="0.96411092985318103"/>
          <c:w val="0.25860155382907879"/>
          <c:h val="2.7732463295269169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Futura"/>
              <a:ea typeface="Futura"/>
              <a:cs typeface="Futur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Helv"/>
          <a:ea typeface="Helv"/>
          <a:cs typeface="Helv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Peignot Medium"/>
                <a:ea typeface="Peignot Medium"/>
                <a:cs typeface="Peignot Medium"/>
              </a:defRPr>
            </a:pPr>
            <a:r>
              <a:t>Moisture Curve</a:t>
            </a:r>
          </a:p>
        </c:rich>
      </c:tx>
      <c:layout>
        <c:manualLayout>
          <c:xMode val="edge"/>
          <c:yMode val="edge"/>
          <c:x val="0.43174250832408434"/>
          <c:y val="1.95758564437194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263041065482792E-2"/>
          <c:y val="0.10277324632952692"/>
          <c:w val="0.86348501664816868"/>
          <c:h val="0.67862969004893969"/>
        </c:manualLayout>
      </c:layout>
      <c:scatterChart>
        <c:scatterStyle val="lineMarker"/>
        <c:varyColors val="0"/>
        <c:ser>
          <c:idx val="0"/>
          <c:order val="0"/>
          <c:tx>
            <c:v>"R" Value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'"R" Value Data'!$B$4:$B$6</c:f>
              <c:numCache>
                <c:formatCode>0.0\ %</c:formatCode>
                <c:ptCount val="3"/>
                <c:pt idx="0">
                  <c:v>0.16</c:v>
                </c:pt>
                <c:pt idx="1">
                  <c:v>0.18</c:v>
                </c:pt>
                <c:pt idx="2">
                  <c:v>0.2</c:v>
                </c:pt>
              </c:numCache>
            </c:numRef>
          </c:xVal>
          <c:yVal>
            <c:numRef>
              <c:f>'"R" Value Data'!$N$4:$N$6</c:f>
              <c:numCache>
                <c:formatCode>#,##0.0</c:formatCode>
                <c:ptCount val="3"/>
                <c:pt idx="0">
                  <c:v>44.261149185772489</c:v>
                </c:pt>
                <c:pt idx="1">
                  <c:v>31.50105733084445</c:v>
                </c:pt>
                <c:pt idx="2">
                  <c:v>16.300331820001109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842560"/>
        <c:axId val="123844864"/>
      </c:scatterChart>
      <c:valAx>
        <c:axId val="123842560"/>
        <c:scaling>
          <c:orientation val="minMax"/>
          <c:min val="0.15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% Moisture</a:t>
                </a:r>
              </a:p>
            </c:rich>
          </c:tx>
          <c:layout>
            <c:manualLayout>
              <c:xMode val="edge"/>
              <c:yMode val="edge"/>
              <c:x val="0.45837957824639292"/>
              <c:y val="0.82544861337683528"/>
            </c:manualLayout>
          </c:layout>
          <c:overlay val="0"/>
          <c:spPr>
            <a:noFill/>
            <a:ln w="25400">
              <a:noFill/>
            </a:ln>
          </c:spPr>
        </c:title>
        <c:numFmt formatCode="0.0\ %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123844864"/>
        <c:crosses val="autoZero"/>
        <c:crossBetween val="midCat"/>
        <c:minorUnit val="2E-3"/>
      </c:valAx>
      <c:valAx>
        <c:axId val="123844864"/>
        <c:scaling>
          <c:orientation val="minMax"/>
          <c:min val="15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"R" Value</a:t>
                </a:r>
              </a:p>
            </c:rich>
          </c:tx>
          <c:layout>
            <c:manualLayout>
              <c:xMode val="edge"/>
              <c:yMode val="edge"/>
              <c:x val="4.4395116537180911E-3"/>
              <c:y val="0.39477977161500816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123842560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b"/>
      <c:layout>
        <c:manualLayout>
          <c:xMode val="edge"/>
          <c:yMode val="edge"/>
          <c:x val="0.40399556048834628"/>
          <c:y val="0.96247960848287117"/>
          <c:w val="9.3229744728079905E-2"/>
          <c:h val="3.2626427406199018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Futura"/>
              <a:ea typeface="Futura"/>
              <a:cs typeface="Futura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Futura"/>
          <a:ea typeface="Futura"/>
          <a:cs typeface="Futura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 zoomToFit="1"/>
  </sheetViews>
  <pageMargins left="0.75" right="0.75" top="1" bottom="1" header="0.5" footer="0.5"/>
  <pageSetup orientation="landscape" horizontalDpi="300" verticalDpi="300" r:id="rId1"/>
  <headerFooter alignWithMargins="0">
    <oddHeader>&amp;A</oddHeader>
    <oddFooter>Page &amp;P</oddFooter>
  </headerFooter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workbookViewId="0" zoomToFit="1"/>
  </sheetViews>
  <pageMargins left="0.75" right="0.75" top="1" bottom="1" header="0.5" footer="0.5"/>
  <headerFooter alignWithMargins="0">
    <oddHeader>&amp;A</oddHeader>
    <oddFooter>Page &amp;P</oddFooter>
  </headerFooter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0"/>
  <sheetViews>
    <sheetView showGridLines="0" tabSelected="1" showOutlineSymbols="0" zoomScale="95" workbookViewId="0">
      <selection activeCell="H11" sqref="H11"/>
    </sheetView>
  </sheetViews>
  <sheetFormatPr defaultColWidth="6.7109375" defaultRowHeight="11.25" outlineLevelCol="1" x14ac:dyDescent="0.2"/>
  <cols>
    <col min="1" max="1" width="4.7109375" style="3" customWidth="1"/>
    <col min="2" max="5" width="6.7109375" style="3"/>
    <col min="6" max="6" width="7.7109375" style="3" customWidth="1"/>
    <col min="7" max="7" width="8.7109375" style="3" customWidth="1"/>
    <col min="8" max="8" width="7.7109375" style="3" customWidth="1"/>
    <col min="9" max="9" width="8.7109375" style="3" customWidth="1"/>
    <col min="10" max="10" width="9.7109375" style="3" customWidth="1"/>
    <col min="11" max="12" width="5.7109375" style="3" customWidth="1"/>
    <col min="13" max="13" width="7.7109375" style="2" customWidth="1"/>
    <col min="14" max="14" width="8.7109375" style="2" customWidth="1"/>
    <col min="15" max="22" width="6.7109375" style="2" hidden="1" customWidth="1" outlineLevel="1"/>
    <col min="23" max="23" width="6.7109375" style="3" hidden="1" customWidth="1" outlineLevel="1" collapsed="1"/>
    <col min="24" max="24" width="6.7109375" style="3" hidden="1" customWidth="1" outlineLevel="1"/>
    <col min="25" max="25" width="6.7109375" style="3" collapsed="1"/>
    <col min="26" max="16384" width="6.7109375" style="3"/>
  </cols>
  <sheetData>
    <row r="1" spans="1:24" ht="12" thickTop="1" x14ac:dyDescent="0.2">
      <c r="A1" s="72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4"/>
      <c r="N1" s="75"/>
    </row>
    <row r="2" spans="1:24" s="36" customFormat="1" ht="12" thickBot="1" x14ac:dyDescent="0.25">
      <c r="A2" s="76" t="s">
        <v>0</v>
      </c>
      <c r="B2" s="77" t="s">
        <v>1</v>
      </c>
      <c r="C2" s="77" t="s">
        <v>2</v>
      </c>
      <c r="D2" s="77" t="s">
        <v>3</v>
      </c>
      <c r="E2" s="77" t="s">
        <v>4</v>
      </c>
      <c r="F2" s="77" t="s">
        <v>5</v>
      </c>
      <c r="G2" s="78" t="s">
        <v>6</v>
      </c>
      <c r="H2" s="77" t="s">
        <v>7</v>
      </c>
      <c r="I2" s="78" t="s">
        <v>8</v>
      </c>
      <c r="J2" s="77" t="s">
        <v>9</v>
      </c>
      <c r="K2" s="77" t="s">
        <v>10</v>
      </c>
      <c r="L2" s="78" t="s">
        <v>11</v>
      </c>
      <c r="M2" s="79" t="s">
        <v>2</v>
      </c>
      <c r="N2" s="80" t="s">
        <v>12</v>
      </c>
      <c r="O2" s="35"/>
      <c r="P2" s="35" t="s">
        <v>13</v>
      </c>
      <c r="Q2" s="35"/>
      <c r="R2" s="35"/>
      <c r="S2" s="35"/>
      <c r="T2" s="35"/>
      <c r="U2" s="35"/>
      <c r="V2" s="34" t="s">
        <v>14</v>
      </c>
      <c r="W2" s="35"/>
      <c r="X2" s="35"/>
    </row>
    <row r="3" spans="1:24" s="36" customFormat="1" ht="12" thickBot="1" x14ac:dyDescent="0.25">
      <c r="A3" s="76" t="s">
        <v>15</v>
      </c>
      <c r="B3" s="77" t="s">
        <v>16</v>
      </c>
      <c r="C3" s="77" t="s">
        <v>17</v>
      </c>
      <c r="D3" s="77" t="s">
        <v>17</v>
      </c>
      <c r="E3" s="77" t="s">
        <v>17</v>
      </c>
      <c r="F3" s="77" t="s">
        <v>18</v>
      </c>
      <c r="G3" s="78" t="s">
        <v>19</v>
      </c>
      <c r="H3" s="77" t="s">
        <v>20</v>
      </c>
      <c r="I3" s="78" t="s">
        <v>19</v>
      </c>
      <c r="J3" s="77" t="s">
        <v>21</v>
      </c>
      <c r="K3" s="77" t="s">
        <v>22</v>
      </c>
      <c r="L3" s="78" t="s">
        <v>23</v>
      </c>
      <c r="M3" s="77" t="s">
        <v>24</v>
      </c>
      <c r="N3" s="81" t="s">
        <v>25</v>
      </c>
      <c r="O3" s="34" t="s">
        <v>26</v>
      </c>
      <c r="P3" s="34" t="s">
        <v>27</v>
      </c>
      <c r="Q3" s="34" t="s">
        <v>28</v>
      </c>
      <c r="R3" s="34" t="s">
        <v>29</v>
      </c>
      <c r="S3" s="34" t="s">
        <v>28</v>
      </c>
      <c r="T3" s="37">
        <v>1</v>
      </c>
      <c r="U3" s="38">
        <f>N4</f>
        <v>44.261149185772489</v>
      </c>
      <c r="V3" s="39">
        <f t="shared" ref="V3:V5" si="0">U3^2</f>
        <v>1959.0493272452086</v>
      </c>
      <c r="W3" s="34"/>
    </row>
    <row r="4" spans="1:24" x14ac:dyDescent="0.2">
      <c r="A4" s="40">
        <v>1</v>
      </c>
      <c r="B4" s="41">
        <v>0.16</v>
      </c>
      <c r="C4" s="42">
        <v>1189.5</v>
      </c>
      <c r="D4" s="43">
        <f t="shared" ref="D4:D6" si="1">(C4/453.6)/(PI()*4/144*M4/12)</f>
        <v>139.76729775401216</v>
      </c>
      <c r="E4" s="43">
        <f t="shared" ref="E4:E6" si="2">D4/(1+B4)</f>
        <v>120.48904978794152</v>
      </c>
      <c r="F4" s="44">
        <v>7875</v>
      </c>
      <c r="G4" s="45">
        <f t="shared" ref="G4:G6" si="3">F4/(PI()*2^2)</f>
        <v>626.67258842433796</v>
      </c>
      <c r="H4" s="44">
        <v>2</v>
      </c>
      <c r="I4" s="46">
        <f t="shared" ref="I4:I6" si="4">0.03*H4</f>
        <v>0.06</v>
      </c>
      <c r="J4" s="47">
        <v>83</v>
      </c>
      <c r="K4" s="48">
        <v>3.15</v>
      </c>
      <c r="L4" s="43">
        <f t="shared" ref="L4:L6" si="5">100-(100/((2.5/K4)*(160/J4-1)+1))</f>
        <v>42.405551272166541</v>
      </c>
      <c r="M4" s="48">
        <v>2.58</v>
      </c>
      <c r="N4" s="49">
        <f>IF(M4&lt;2.3,"Too Short",IF(AND(M4&gt;=2.3,M4&lt;2.4),$U$26+(M4-2.3)/0.1*($U$27-$U$26),IF(AND(M4&gt;=2.4,M4&lt;2.5),$U$27+(M4-2.4)/0.1*($U$28-$U$27),IF(AND(M4&gt;=2.5,M4&lt;2.6),$U$28+(M4-2.5)/0.1*($U$29-$U$28),IF(AND(M4&gt;=2.6,M4&lt;=2.7),$U$29+(M4-2.6)/0.1*($U$30-$U$29),"Too High")))))</f>
        <v>44.261149185772489</v>
      </c>
      <c r="O4" s="7">
        <f>N6-1</f>
        <v>15.300331820001109</v>
      </c>
      <c r="P4" s="7">
        <f t="shared" ref="P4:P49" si="6">$U$10*O4^2+$U$9*O4+$U$8</f>
        <v>100.06112545876019</v>
      </c>
      <c r="Q4" s="8">
        <f t="shared" ref="Q4:Q49" si="7">$U$15*O4^2+$U$14*O4+$U$13</f>
        <v>0.15039263401947675</v>
      </c>
      <c r="R4" s="9">
        <f>B4-0.01</f>
        <v>0.15</v>
      </c>
      <c r="S4" s="8">
        <f t="shared" ref="S4:S49" si="8">$V$41*R4^2+$V$40*R4+$V$39</f>
        <v>49.725957492236056</v>
      </c>
      <c r="T4" s="10">
        <v>1</v>
      </c>
      <c r="U4" s="11">
        <f>N5</f>
        <v>31.50105733084445</v>
      </c>
      <c r="V4" s="12">
        <f t="shared" si="0"/>
        <v>992.31661296114885</v>
      </c>
      <c r="W4" s="8"/>
    </row>
    <row r="5" spans="1:24" ht="12" thickBot="1" x14ac:dyDescent="0.25">
      <c r="A5" s="50">
        <v>2</v>
      </c>
      <c r="B5" s="51">
        <v>0.18</v>
      </c>
      <c r="C5" s="52">
        <v>1195.4000000000001</v>
      </c>
      <c r="D5" s="53">
        <f t="shared" si="1"/>
        <v>135.21948754232528</v>
      </c>
      <c r="E5" s="53">
        <f t="shared" si="2"/>
        <v>114.59278605281804</v>
      </c>
      <c r="F5" s="54">
        <v>3400</v>
      </c>
      <c r="G5" s="55">
        <f t="shared" si="3"/>
        <v>270.5634032562221</v>
      </c>
      <c r="H5" s="54">
        <v>4</v>
      </c>
      <c r="I5" s="56">
        <f t="shared" si="4"/>
        <v>0.12</v>
      </c>
      <c r="J5" s="57">
        <v>109</v>
      </c>
      <c r="K5" s="58">
        <v>3</v>
      </c>
      <c r="L5" s="53">
        <f t="shared" si="5"/>
        <v>28.052805280528062</v>
      </c>
      <c r="M5" s="59">
        <v>2.68</v>
      </c>
      <c r="N5" s="60">
        <f>IF(M5&lt;2.3,"Too Short",IF(AND(M5&gt;=2.3,M5&lt;2.4),$V$26+(M5-2.3)/0.1*($V$27-$V$26),IF(AND(M5&gt;=2.4,M5&lt;2.5),$V$27+(M5-2.4)/0.1*($V$28-$V$27),IF(AND(M5&gt;=2.5,M5&lt;2.6),$V$28+(M5-2.5)/0.1*($V$29-$V$28),IF(AND(M5&gt;=2.6,M5&lt;=2.7),$V$29+(M5-2.6)/0.1*($V$30-$V$29),"Too High")))))</f>
        <v>31.50105733084445</v>
      </c>
      <c r="O5" s="7">
        <f t="shared" ref="O5:O49" si="9">O4+2</f>
        <v>17.300331820001109</v>
      </c>
      <c r="P5" s="7">
        <f t="shared" si="6"/>
        <v>104.06192361291286</v>
      </c>
      <c r="Q5" s="8">
        <f t="shared" si="7"/>
        <v>0.14941219496937297</v>
      </c>
      <c r="R5" s="9">
        <f t="shared" ref="R5:R49" si="10">R4+0.002</f>
        <v>0.152</v>
      </c>
      <c r="S5" s="8">
        <f t="shared" si="8"/>
        <v>48.68180850404746</v>
      </c>
      <c r="T5" s="13">
        <v>1</v>
      </c>
      <c r="U5" s="14">
        <f>N6</f>
        <v>16.300331820001109</v>
      </c>
      <c r="V5" s="15">
        <f t="shared" si="0"/>
        <v>265.70081744214065</v>
      </c>
      <c r="W5" s="8"/>
    </row>
    <row r="6" spans="1:24" x14ac:dyDescent="0.2">
      <c r="A6" s="50">
        <v>3</v>
      </c>
      <c r="B6" s="51">
        <v>0.2</v>
      </c>
      <c r="C6" s="52">
        <v>1184.2</v>
      </c>
      <c r="D6" s="53">
        <f t="shared" si="1"/>
        <v>133.45461753189767</v>
      </c>
      <c r="E6" s="53">
        <f t="shared" si="2"/>
        <v>111.21218127658139</v>
      </c>
      <c r="F6" s="54">
        <v>1275</v>
      </c>
      <c r="G6" s="55">
        <f t="shared" si="3"/>
        <v>101.46127622108328</v>
      </c>
      <c r="H6" s="54">
        <v>5</v>
      </c>
      <c r="I6" s="56">
        <f t="shared" si="4"/>
        <v>0.15</v>
      </c>
      <c r="J6" s="57">
        <v>125</v>
      </c>
      <c r="K6" s="58">
        <v>4.25</v>
      </c>
      <c r="L6" s="53">
        <f t="shared" si="5"/>
        <v>14.141414141414145</v>
      </c>
      <c r="M6" s="58">
        <v>2.69</v>
      </c>
      <c r="N6" s="60">
        <f>IF(M6&lt;2.3,"Too Short",IF(AND(M6&gt;=2.3,M6&lt;2.4),$W$26+(M6-2.3)/0.1*($W$27-$W$26),IF(AND(M6&gt;=2.4,M6&lt;2.5),$W$27+(M6-2.4)/0.1*($W$28-$W$27),IF(AND(M6&gt;=2.5,M6&lt;2.6),$W$28+(M6-2.5)/0.1*($W$29-$W$28),IF(AND(M6&gt;=2.6,M6&lt;=2.7),$W$29+(M6-2.6)/0.1*($W$30-$W$29),"Too High")))))</f>
        <v>16.300331820001109</v>
      </c>
      <c r="O6" s="7">
        <f t="shared" si="9"/>
        <v>19.300331820001109</v>
      </c>
      <c r="P6" s="7">
        <f t="shared" si="6"/>
        <v>112.86470828513808</v>
      </c>
      <c r="Q6" s="8">
        <f t="shared" si="7"/>
        <v>0.147651071874662</v>
      </c>
      <c r="R6" s="9">
        <f t="shared" si="10"/>
        <v>0.154</v>
      </c>
      <c r="S6" s="8">
        <f t="shared" si="8"/>
        <v>47.613253179299925</v>
      </c>
      <c r="T6" s="8"/>
      <c r="U6" s="8"/>
      <c r="V6" s="8"/>
      <c r="W6" s="8"/>
      <c r="X6" s="8"/>
    </row>
    <row r="7" spans="1:24" ht="12" thickBot="1" x14ac:dyDescent="0.25">
      <c r="A7" s="50"/>
      <c r="B7" s="61"/>
      <c r="C7" s="61"/>
      <c r="D7" s="61"/>
      <c r="E7" s="61"/>
      <c r="F7" s="62"/>
      <c r="G7" s="62"/>
      <c r="H7" s="63"/>
      <c r="I7" s="64"/>
      <c r="J7" s="62"/>
      <c r="K7" s="62"/>
      <c r="L7" s="62"/>
      <c r="M7" s="62"/>
      <c r="N7" s="65"/>
      <c r="O7" s="7">
        <f t="shared" si="9"/>
        <v>21.300331820001109</v>
      </c>
      <c r="P7" s="7">
        <f t="shared" si="6"/>
        <v>126.46947947543578</v>
      </c>
      <c r="Q7" s="8">
        <f t="shared" si="7"/>
        <v>0.14510926473534386</v>
      </c>
      <c r="R7" s="9">
        <f t="shared" si="10"/>
        <v>0.156</v>
      </c>
      <c r="S7" s="8">
        <f t="shared" si="8"/>
        <v>46.520291517993449</v>
      </c>
      <c r="T7" s="8"/>
      <c r="U7" s="8"/>
      <c r="V7" s="16" t="s">
        <v>30</v>
      </c>
      <c r="W7" s="8"/>
    </row>
    <row r="8" spans="1:24" x14ac:dyDescent="0.2">
      <c r="A8" s="50"/>
      <c r="B8" s="61"/>
      <c r="C8" s="61"/>
      <c r="D8" s="61"/>
      <c r="E8" s="66"/>
      <c r="F8" s="66"/>
      <c r="G8" s="62"/>
      <c r="H8" s="67" t="s">
        <v>31</v>
      </c>
      <c r="I8" s="63">
        <f>V50*300^2+V49*300+V48</f>
        <v>33.545595285430529</v>
      </c>
      <c r="J8" s="62"/>
      <c r="K8" s="62"/>
      <c r="L8" s="62"/>
      <c r="M8" s="62"/>
      <c r="N8" s="65"/>
      <c r="O8" s="7">
        <f t="shared" si="9"/>
        <v>23.300331820001109</v>
      </c>
      <c r="P8" s="7">
        <f t="shared" si="6"/>
        <v>144.87623718380598</v>
      </c>
      <c r="Q8" s="8">
        <f t="shared" si="7"/>
        <v>0.14178677355141855</v>
      </c>
      <c r="R8" s="9">
        <f t="shared" si="10"/>
        <v>0.158</v>
      </c>
      <c r="S8" s="8">
        <f t="shared" si="8"/>
        <v>45.402923520128041</v>
      </c>
      <c r="T8" s="17" t="s">
        <v>32</v>
      </c>
      <c r="U8" s="18">
        <f t="array" ref="U8:U10">MMULT(MINVERSE(MMULT(TRANSPOSE(T3:V5),T3:V5)),MMULT(TRANSPOSE(T3:V5),V8:V10))</f>
        <v>228.34057539205969</v>
      </c>
      <c r="V8" s="19">
        <f>G4</f>
        <v>626.67258842433796</v>
      </c>
      <c r="W8" s="8"/>
    </row>
    <row r="9" spans="1:24" ht="12" thickBot="1" x14ac:dyDescent="0.25">
      <c r="A9" s="68"/>
      <c r="B9" s="69"/>
      <c r="C9" s="69"/>
      <c r="D9" s="69"/>
      <c r="E9" s="69"/>
      <c r="F9" s="69"/>
      <c r="G9" s="69"/>
      <c r="H9" s="70"/>
      <c r="I9" s="70"/>
      <c r="J9" s="70"/>
      <c r="K9" s="70"/>
      <c r="L9" s="69"/>
      <c r="M9" s="69"/>
      <c r="N9" s="71"/>
      <c r="O9" s="7">
        <f t="shared" si="9"/>
        <v>25.300331820001109</v>
      </c>
      <c r="P9" s="7">
        <f t="shared" si="6"/>
        <v>168.0849814102487</v>
      </c>
      <c r="Q9" s="8">
        <f t="shared" si="7"/>
        <v>0.13768359832288604</v>
      </c>
      <c r="R9" s="9">
        <f t="shared" si="10"/>
        <v>0.16</v>
      </c>
      <c r="S9" s="8">
        <f t="shared" si="8"/>
        <v>44.261149185703687</v>
      </c>
      <c r="T9" s="17" t="s">
        <v>33</v>
      </c>
      <c r="U9" s="18">
        <v>-17.568094332862074</v>
      </c>
      <c r="V9" s="20">
        <f>G5</f>
        <v>270.5634032562221</v>
      </c>
      <c r="W9" s="8"/>
    </row>
    <row r="10" spans="1:24" ht="12.75" thickTop="1" thickBot="1" x14ac:dyDescent="0.25">
      <c r="H10" s="21"/>
      <c r="I10" s="21"/>
      <c r="J10" s="21"/>
      <c r="K10" s="21"/>
      <c r="M10" s="3"/>
      <c r="N10" s="3"/>
      <c r="O10" s="7">
        <f t="shared" si="9"/>
        <v>27.300331820001109</v>
      </c>
      <c r="P10" s="7">
        <f t="shared" si="6"/>
        <v>196.09571215476393</v>
      </c>
      <c r="Q10" s="8">
        <f t="shared" si="7"/>
        <v>0.13279973904974635</v>
      </c>
      <c r="R10" s="9">
        <f t="shared" si="10"/>
        <v>0.16200000000000001</v>
      </c>
      <c r="S10" s="8">
        <f t="shared" si="8"/>
        <v>43.094968514720406</v>
      </c>
      <c r="T10" s="17" t="s">
        <v>34</v>
      </c>
      <c r="U10" s="18">
        <v>0.60024831475906382</v>
      </c>
      <c r="V10" s="22">
        <f>G6</f>
        <v>101.46127622108328</v>
      </c>
      <c r="W10" s="8"/>
    </row>
    <row r="11" spans="1:24" x14ac:dyDescent="0.2">
      <c r="M11" s="3"/>
      <c r="N11" s="3"/>
      <c r="O11" s="7">
        <f t="shared" si="9"/>
        <v>29.300331820001109</v>
      </c>
      <c r="P11" s="7">
        <f t="shared" si="6"/>
        <v>228.90842941735173</v>
      </c>
      <c r="Q11" s="8">
        <f t="shared" si="7"/>
        <v>0.12713519573199947</v>
      </c>
      <c r="R11" s="9">
        <f t="shared" si="10"/>
        <v>0.16400000000000001</v>
      </c>
      <c r="S11" s="8">
        <f t="shared" si="8"/>
        <v>41.904381507178186</v>
      </c>
      <c r="T11" s="8"/>
      <c r="U11" s="8"/>
      <c r="V11" s="8"/>
      <c r="W11" s="8"/>
      <c r="X11" s="8"/>
    </row>
    <row r="12" spans="1:24" ht="12" thickBot="1" x14ac:dyDescent="0.25">
      <c r="M12" s="3"/>
      <c r="N12" s="3"/>
      <c r="O12" s="7">
        <f t="shared" si="9"/>
        <v>31.300331820001109</v>
      </c>
      <c r="P12" s="7">
        <f t="shared" si="6"/>
        <v>266.52313319801203</v>
      </c>
      <c r="Q12" s="8">
        <f t="shared" si="7"/>
        <v>0.12068996836964541</v>
      </c>
      <c r="R12" s="9">
        <f t="shared" si="10"/>
        <v>0.16600000000000001</v>
      </c>
      <c r="S12" s="8">
        <f t="shared" si="8"/>
        <v>40.689388163077012</v>
      </c>
      <c r="T12" s="8"/>
      <c r="U12" s="8"/>
      <c r="V12" s="16" t="s">
        <v>35</v>
      </c>
      <c r="W12" s="8"/>
      <c r="X12" s="8"/>
    </row>
    <row r="13" spans="1:24" x14ac:dyDescent="0.2">
      <c r="M13" s="3"/>
      <c r="N13" s="3"/>
      <c r="O13" s="7">
        <f t="shared" si="9"/>
        <v>33.300331820001105</v>
      </c>
      <c r="P13" s="7">
        <f t="shared" si="6"/>
        <v>308.93982349674468</v>
      </c>
      <c r="Q13" s="8">
        <f t="shared" si="7"/>
        <v>0.11346405696268416</v>
      </c>
      <c r="R13" s="9">
        <f t="shared" si="10"/>
        <v>0.16800000000000001</v>
      </c>
      <c r="S13" s="8">
        <f t="shared" si="8"/>
        <v>39.449988482416927</v>
      </c>
      <c r="T13" s="17" t="s">
        <v>32</v>
      </c>
      <c r="U13" s="18">
        <f t="array" ref="U13:U15">MMULT(MINVERSE(MMULT(TRANSPOSE(T3:V5),T3:V5)),MMULT(TRANSPOSE(T3:V5),V13:V15))</f>
        <v>0.13206219232096927</v>
      </c>
      <c r="V13" s="19">
        <f>I4</f>
        <v>0.06</v>
      </c>
      <c r="W13" s="8"/>
      <c r="X13" s="8"/>
    </row>
    <row r="14" spans="1:24" x14ac:dyDescent="0.2">
      <c r="M14" s="3"/>
      <c r="N14" s="3"/>
      <c r="O14" s="7">
        <f t="shared" si="9"/>
        <v>35.300331820001105</v>
      </c>
      <c r="P14" s="7">
        <f t="shared" si="6"/>
        <v>356.15850031354989</v>
      </c>
      <c r="Q14" s="8">
        <f t="shared" si="7"/>
        <v>0.10545746151111576</v>
      </c>
      <c r="R14" s="9">
        <f t="shared" si="10"/>
        <v>0.17</v>
      </c>
      <c r="S14" s="8">
        <f t="shared" si="8"/>
        <v>38.186182465197888</v>
      </c>
      <c r="T14" s="17" t="s">
        <v>33</v>
      </c>
      <c r="U14" s="18">
        <v>2.6911327183675171E-3</v>
      </c>
      <c r="V14" s="20">
        <f>I5</f>
        <v>0.12</v>
      </c>
      <c r="W14" s="8"/>
      <c r="X14" s="8"/>
    </row>
    <row r="15" spans="1:24" ht="12" thickBot="1" x14ac:dyDescent="0.25">
      <c r="M15" s="3"/>
      <c r="N15" s="3"/>
      <c r="O15" s="7">
        <f t="shared" si="9"/>
        <v>37.300331820001105</v>
      </c>
      <c r="P15" s="7">
        <f t="shared" si="6"/>
        <v>408.17916364842779</v>
      </c>
      <c r="Q15" s="8">
        <f t="shared" si="7"/>
        <v>9.667018201494014E-2</v>
      </c>
      <c r="R15" s="9">
        <f t="shared" si="10"/>
        <v>0.17200000000000001</v>
      </c>
      <c r="S15" s="8">
        <f t="shared" si="8"/>
        <v>36.897970111419909</v>
      </c>
      <c r="T15" s="17" t="s">
        <v>34</v>
      </c>
      <c r="U15" s="18">
        <v>-9.7585505575897846E-5</v>
      </c>
      <c r="V15" s="22">
        <f>I6</f>
        <v>0.15</v>
      </c>
      <c r="W15" s="8"/>
      <c r="X15" s="8"/>
    </row>
    <row r="16" spans="1:24" x14ac:dyDescent="0.2">
      <c r="M16" s="3"/>
      <c r="N16" s="3"/>
      <c r="O16" s="7">
        <f t="shared" si="9"/>
        <v>39.300331820001105</v>
      </c>
      <c r="P16" s="7">
        <f t="shared" si="6"/>
        <v>465.00181350137802</v>
      </c>
      <c r="Q16" s="8">
        <f t="shared" si="7"/>
        <v>8.7102218474157375E-2</v>
      </c>
      <c r="R16" s="9">
        <f t="shared" si="10"/>
        <v>0.17400000000000002</v>
      </c>
      <c r="S16" s="8">
        <f t="shared" si="8"/>
        <v>35.585351421083004</v>
      </c>
      <c r="T16" s="8"/>
      <c r="U16" s="8"/>
      <c r="V16" s="8"/>
      <c r="W16" s="8"/>
      <c r="X16" s="8"/>
    </row>
    <row r="17" spans="13:24" x14ac:dyDescent="0.2">
      <c r="M17" s="3"/>
      <c r="N17" s="3"/>
      <c r="O17" s="7">
        <f t="shared" si="9"/>
        <v>41.300331820001105</v>
      </c>
      <c r="P17" s="7">
        <f t="shared" si="6"/>
        <v>526.62644987240083</v>
      </c>
      <c r="Q17" s="8">
        <f t="shared" si="7"/>
        <v>7.6753570888767372E-2</v>
      </c>
      <c r="R17" s="9">
        <f t="shared" si="10"/>
        <v>0.17600000000000002</v>
      </c>
      <c r="S17" s="8">
        <f t="shared" si="8"/>
        <v>34.248326394187146</v>
      </c>
      <c r="T17" s="8"/>
      <c r="U17" s="16" t="s">
        <v>36</v>
      </c>
      <c r="V17" s="16" t="s">
        <v>37</v>
      </c>
      <c r="W17" s="16" t="s">
        <v>38</v>
      </c>
      <c r="X17" s="8"/>
    </row>
    <row r="18" spans="13:24" x14ac:dyDescent="0.2">
      <c r="M18" s="3"/>
      <c r="N18" s="3"/>
      <c r="O18" s="7">
        <f t="shared" si="9"/>
        <v>43.300331820001105</v>
      </c>
      <c r="P18" s="7">
        <f t="shared" si="6"/>
        <v>593.0530727614962</v>
      </c>
      <c r="Q18" s="8">
        <f t="shared" si="7"/>
        <v>6.5624239258770242E-2</v>
      </c>
      <c r="R18" s="9">
        <f t="shared" si="10"/>
        <v>0.17800000000000002</v>
      </c>
      <c r="S18" s="8">
        <f t="shared" si="8"/>
        <v>32.886895030732362</v>
      </c>
      <c r="T18" s="16">
        <v>2.2999999999999998</v>
      </c>
      <c r="U18" s="8">
        <v>0.51734265734256724</v>
      </c>
      <c r="V18" s="8">
        <v>0.78343323343322879</v>
      </c>
      <c r="W18" s="8">
        <v>2.1220779220779695E-3</v>
      </c>
      <c r="X18" s="8"/>
    </row>
    <row r="19" spans="13:24" x14ac:dyDescent="0.2">
      <c r="M19" s="3"/>
      <c r="N19" s="3"/>
      <c r="O19" s="7">
        <f t="shared" si="9"/>
        <v>45.300331820001105</v>
      </c>
      <c r="P19" s="7">
        <f t="shared" si="6"/>
        <v>664.28168216866379</v>
      </c>
      <c r="Q19" s="8">
        <f t="shared" si="7"/>
        <v>5.3714223584165902E-2</v>
      </c>
      <c r="R19" s="9">
        <f t="shared" si="10"/>
        <v>0.18000000000000002</v>
      </c>
      <c r="S19" s="8">
        <f t="shared" si="8"/>
        <v>31.501057330718638</v>
      </c>
      <c r="T19" s="16">
        <v>2.4</v>
      </c>
      <c r="U19" s="8">
        <v>0.15454545454531399</v>
      </c>
      <c r="V19" s="8">
        <v>0.89870129870129745</v>
      </c>
      <c r="W19" s="8">
        <v>1.0129870129871321E-3</v>
      </c>
      <c r="X19" s="8"/>
    </row>
    <row r="20" spans="13:24" x14ac:dyDescent="0.2">
      <c r="M20" s="3"/>
      <c r="N20" s="3"/>
      <c r="O20" s="7">
        <f t="shared" si="9"/>
        <v>47.300331820001105</v>
      </c>
      <c r="P20" s="7">
        <f t="shared" si="6"/>
        <v>740.3122780939043</v>
      </c>
      <c r="Q20" s="8">
        <f t="shared" si="7"/>
        <v>4.1023523864954392E-2</v>
      </c>
      <c r="R20" s="9">
        <f t="shared" si="10"/>
        <v>0.18200000000000002</v>
      </c>
      <c r="S20" s="8">
        <f t="shared" si="8"/>
        <v>30.090813294145946</v>
      </c>
      <c r="T20" s="16">
        <v>2.5</v>
      </c>
      <c r="U20" s="8">
        <v>0</v>
      </c>
      <c r="V20" s="8">
        <v>1</v>
      </c>
      <c r="W20" s="8">
        <v>0</v>
      </c>
      <c r="X20" s="8"/>
    </row>
    <row r="21" spans="13:24" x14ac:dyDescent="0.2">
      <c r="M21" s="3"/>
      <c r="N21" s="3"/>
      <c r="O21" s="7">
        <f t="shared" si="9"/>
        <v>49.300331820001105</v>
      </c>
      <c r="P21" s="7">
        <f t="shared" si="6"/>
        <v>821.14486053721726</v>
      </c>
      <c r="Q21" s="8">
        <f t="shared" si="7"/>
        <v>2.7552140101135686E-2</v>
      </c>
      <c r="R21" s="9">
        <f t="shared" si="10"/>
        <v>0.18400000000000002</v>
      </c>
      <c r="S21" s="8">
        <f t="shared" si="8"/>
        <v>28.656162921014342</v>
      </c>
      <c r="T21" s="16">
        <v>2.6</v>
      </c>
      <c r="U21" s="8">
        <v>-0.15454545454554136</v>
      </c>
      <c r="V21" s="8">
        <v>1.1012987012986954</v>
      </c>
      <c r="W21" s="8">
        <v>-1.0129870129869101E-3</v>
      </c>
      <c r="X21" s="8"/>
    </row>
    <row r="22" spans="13:24" x14ac:dyDescent="0.2">
      <c r="M22" s="3"/>
      <c r="N22" s="3"/>
      <c r="O22" s="7">
        <f t="shared" si="9"/>
        <v>51.300331820001105</v>
      </c>
      <c r="P22" s="7">
        <f t="shared" si="6"/>
        <v>906.77942949860267</v>
      </c>
      <c r="Q22" s="8">
        <f t="shared" si="7"/>
        <v>1.3300072292709797E-2</v>
      </c>
      <c r="R22" s="9">
        <f t="shared" si="10"/>
        <v>0.18600000000000003</v>
      </c>
      <c r="S22" s="8">
        <f t="shared" si="8"/>
        <v>27.197106211323813</v>
      </c>
      <c r="T22" s="16">
        <v>2.7</v>
      </c>
      <c r="U22" s="8">
        <v>-9.5804195804248593E-2</v>
      </c>
      <c r="V22" s="8">
        <v>1.1961455211455139</v>
      </c>
      <c r="W22" s="8">
        <v>-1.9935064935063807E-3</v>
      </c>
      <c r="X22" s="8"/>
    </row>
    <row r="23" spans="13:24" x14ac:dyDescent="0.2">
      <c r="M23" s="3"/>
      <c r="N23" s="3"/>
      <c r="O23" s="7">
        <f t="shared" si="9"/>
        <v>53.300331820001105</v>
      </c>
      <c r="P23" s="7">
        <f t="shared" si="6"/>
        <v>997.21598497806031</v>
      </c>
      <c r="Q23" s="8">
        <f t="shared" si="7"/>
        <v>-1.732679560323247E-3</v>
      </c>
      <c r="R23" s="9">
        <f t="shared" si="10"/>
        <v>0.18800000000000003</v>
      </c>
      <c r="S23" s="8">
        <f t="shared" si="8"/>
        <v>25.71364316507433</v>
      </c>
      <c r="T23" s="8"/>
      <c r="U23" s="8"/>
      <c r="V23" s="8"/>
      <c r="W23" s="8"/>
      <c r="X23" s="8"/>
    </row>
    <row r="24" spans="13:24" x14ac:dyDescent="0.2">
      <c r="M24" s="3"/>
      <c r="N24" s="3"/>
      <c r="O24" s="7">
        <f t="shared" si="9"/>
        <v>55.300331820001105</v>
      </c>
      <c r="P24" s="7">
        <f t="shared" si="6"/>
        <v>1092.4545269755906</v>
      </c>
      <c r="Q24" s="8">
        <f t="shared" si="7"/>
        <v>-1.7546115457963529E-2</v>
      </c>
      <c r="R24" s="9">
        <f t="shared" si="10"/>
        <v>0.19000000000000003</v>
      </c>
      <c r="S24" s="8">
        <f t="shared" si="8"/>
        <v>24.205773782265894</v>
      </c>
      <c r="T24" s="1" t="s">
        <v>2</v>
      </c>
      <c r="U24" s="8"/>
      <c r="V24" s="16" t="s">
        <v>39</v>
      </c>
      <c r="W24" s="8"/>
      <c r="X24" s="8"/>
    </row>
    <row r="25" spans="13:24" x14ac:dyDescent="0.2">
      <c r="M25" s="3"/>
      <c r="N25" s="3"/>
      <c r="O25" s="7">
        <f t="shared" si="9"/>
        <v>57.300331820001105</v>
      </c>
      <c r="P25" s="7">
        <f t="shared" si="6"/>
        <v>1192.4950554911936</v>
      </c>
      <c r="Q25" s="8">
        <f t="shared" si="7"/>
        <v>-3.4140235400210939E-2</v>
      </c>
      <c r="R25" s="9">
        <f t="shared" si="10"/>
        <v>0.19200000000000003</v>
      </c>
      <c r="S25" s="8">
        <f t="shared" si="8"/>
        <v>22.673498062898545</v>
      </c>
      <c r="T25" s="1" t="s">
        <v>40</v>
      </c>
      <c r="U25" s="23">
        <v>1</v>
      </c>
      <c r="V25" s="23">
        <v>2</v>
      </c>
      <c r="W25" s="23">
        <v>3</v>
      </c>
      <c r="X25" s="8"/>
    </row>
    <row r="26" spans="13:24" x14ac:dyDescent="0.2">
      <c r="M26" s="3"/>
      <c r="N26" s="3"/>
      <c r="O26" s="7">
        <f t="shared" si="9"/>
        <v>59.300331820001105</v>
      </c>
      <c r="P26" s="7">
        <f t="shared" si="6"/>
        <v>1297.3375705248693</v>
      </c>
      <c r="Q26" s="8">
        <f t="shared" si="7"/>
        <v>-5.1515039387065586E-2</v>
      </c>
      <c r="R26" s="9">
        <f t="shared" si="10"/>
        <v>0.19400000000000003</v>
      </c>
      <c r="S26" s="8">
        <f t="shared" si="8"/>
        <v>21.116816006972272</v>
      </c>
      <c r="T26" s="16">
        <v>2.2999999999999998</v>
      </c>
      <c r="U26" s="8">
        <f>$W$18*$L4^2+$V$18*$L4+$U$18</f>
        <v>37.555246640287159</v>
      </c>
      <c r="V26" s="8">
        <f t="shared" ref="V26:V30" si="11">W18*$L$5^2+V18*$L$5+U18</f>
        <v>24.164832800764398</v>
      </c>
      <c r="W26" s="8">
        <f t="shared" ref="W26:W30" si="12">W18*$L$6^2+V18*$L$6+U18</f>
        <v>12.020568744590641</v>
      </c>
      <c r="X26" s="8"/>
    </row>
    <row r="27" spans="13:24" x14ac:dyDescent="0.2">
      <c r="M27" s="3"/>
      <c r="N27" s="3"/>
      <c r="O27" s="7">
        <f t="shared" si="9"/>
        <v>61.300331820001105</v>
      </c>
      <c r="P27" s="7">
        <f t="shared" si="6"/>
        <v>1406.9820720766168</v>
      </c>
      <c r="Q27" s="8">
        <f t="shared" si="7"/>
        <v>-6.9670527418527362E-2</v>
      </c>
      <c r="R27" s="9">
        <f t="shared" si="10"/>
        <v>0.19600000000000004</v>
      </c>
      <c r="S27" s="8">
        <f t="shared" si="8"/>
        <v>19.53572761448703</v>
      </c>
      <c r="T27" s="16">
        <v>2.4</v>
      </c>
      <c r="U27" s="8">
        <f t="shared" ref="U27:U29" si="13">$W19*L$4^2+$V19*L$4+$U19</f>
        <v>40.086053880158978</v>
      </c>
      <c r="V27" s="8">
        <f t="shared" si="11"/>
        <v>26.162818134712975</v>
      </c>
      <c r="W27" s="8">
        <f t="shared" si="12"/>
        <v>13.066029440409475</v>
      </c>
      <c r="X27" s="8"/>
    </row>
    <row r="28" spans="13:24" x14ac:dyDescent="0.2">
      <c r="M28" s="3"/>
      <c r="N28" s="3"/>
      <c r="O28" s="7">
        <f t="shared" si="9"/>
        <v>63.300331820001105</v>
      </c>
      <c r="P28" s="7">
        <f t="shared" si="6"/>
        <v>1521.4285601464373</v>
      </c>
      <c r="Q28" s="8">
        <f t="shared" si="7"/>
        <v>-8.8606699494596319E-2</v>
      </c>
      <c r="R28" s="9">
        <f t="shared" si="10"/>
        <v>0.19800000000000004</v>
      </c>
      <c r="S28" s="8">
        <f t="shared" si="8"/>
        <v>17.930232885442848</v>
      </c>
      <c r="T28" s="16">
        <v>2.5</v>
      </c>
      <c r="U28" s="8">
        <f t="shared" si="13"/>
        <v>42.405551272166541</v>
      </c>
      <c r="V28" s="8">
        <f t="shared" si="11"/>
        <v>28.052805280528062</v>
      </c>
      <c r="W28" s="8">
        <f t="shared" si="12"/>
        <v>14.141414141414145</v>
      </c>
      <c r="X28" s="8"/>
    </row>
    <row r="29" spans="13:24" x14ac:dyDescent="0.2">
      <c r="M29" s="3"/>
      <c r="N29" s="3"/>
      <c r="O29" s="7">
        <f t="shared" si="9"/>
        <v>65.300331820001105</v>
      </c>
      <c r="P29" s="7">
        <f t="shared" si="6"/>
        <v>1640.6770347343302</v>
      </c>
      <c r="Q29" s="8">
        <f t="shared" si="7"/>
        <v>-0.10832355561527246</v>
      </c>
      <c r="R29" s="9">
        <f t="shared" si="10"/>
        <v>0.20000000000000004</v>
      </c>
      <c r="S29" s="8">
        <f t="shared" si="8"/>
        <v>16.300331819839741</v>
      </c>
      <c r="T29" s="16">
        <v>2.6</v>
      </c>
      <c r="U29" s="8">
        <f t="shared" si="13"/>
        <v>44.725048664173976</v>
      </c>
      <c r="V29" s="8">
        <f t="shared" si="11"/>
        <v>29.942792426342898</v>
      </c>
      <c r="W29" s="8">
        <f t="shared" si="12"/>
        <v>15.216798842418532</v>
      </c>
      <c r="X29" s="8"/>
    </row>
    <row r="30" spans="13:24" x14ac:dyDescent="0.2">
      <c r="M30" s="3"/>
      <c r="N30" s="3"/>
      <c r="O30" s="7">
        <f t="shared" si="9"/>
        <v>67.300331820001105</v>
      </c>
      <c r="P30" s="7">
        <f t="shared" si="6"/>
        <v>1764.7274958402957</v>
      </c>
      <c r="Q30" s="8">
        <f t="shared" si="7"/>
        <v>-0.12882109578055589</v>
      </c>
      <c r="R30" s="9">
        <f t="shared" si="10"/>
        <v>0.20200000000000004</v>
      </c>
      <c r="S30" s="8">
        <f t="shared" si="8"/>
        <v>14.646024417677708</v>
      </c>
      <c r="T30" s="16">
        <v>2.7</v>
      </c>
      <c r="U30" s="8">
        <f>$W$22*L$4^2+$V$22*L$4+$U$22</f>
        <v>47.042621295950006</v>
      </c>
      <c r="V30" s="8">
        <f t="shared" si="11"/>
        <v>31.890623556969835</v>
      </c>
      <c r="W30" s="8">
        <f t="shared" si="12"/>
        <v>16.420724373065841</v>
      </c>
      <c r="X30" s="8"/>
    </row>
    <row r="31" spans="13:24" x14ac:dyDescent="0.2">
      <c r="M31" s="3"/>
      <c r="N31" s="3"/>
      <c r="O31" s="7">
        <f t="shared" si="9"/>
        <v>69.300331820001105</v>
      </c>
      <c r="P31" s="7">
        <f t="shared" si="6"/>
        <v>1893.5799434643334</v>
      </c>
      <c r="Q31" s="8">
        <f t="shared" si="7"/>
        <v>-0.15009931999044634</v>
      </c>
      <c r="R31" s="9">
        <f t="shared" si="10"/>
        <v>0.20400000000000004</v>
      </c>
      <c r="S31" s="8">
        <f t="shared" si="8"/>
        <v>12.967310678956721</v>
      </c>
      <c r="T31" s="16"/>
      <c r="U31" s="8"/>
      <c r="V31" s="8"/>
      <c r="W31" s="8"/>
      <c r="X31" s="8"/>
    </row>
    <row r="32" spans="13:24" x14ac:dyDescent="0.2">
      <c r="M32" s="3"/>
      <c r="N32" s="3"/>
      <c r="O32" s="7">
        <f t="shared" si="9"/>
        <v>71.300331820001105</v>
      </c>
      <c r="P32" s="7">
        <f t="shared" si="6"/>
        <v>2027.2343776064442</v>
      </c>
      <c r="Q32" s="8">
        <f t="shared" si="7"/>
        <v>-0.17215822824494414</v>
      </c>
      <c r="R32" s="9">
        <f t="shared" si="10"/>
        <v>0.20600000000000004</v>
      </c>
      <c r="S32" s="8">
        <f t="shared" si="8"/>
        <v>11.264190603676809</v>
      </c>
      <c r="T32" s="8"/>
      <c r="U32" s="8"/>
      <c r="V32" s="8"/>
      <c r="W32" s="8"/>
      <c r="X32" s="8"/>
    </row>
    <row r="33" spans="13:24" ht="12" thickBot="1" x14ac:dyDescent="0.25">
      <c r="M33" s="3"/>
      <c r="N33" s="3"/>
      <c r="O33" s="7">
        <f t="shared" si="9"/>
        <v>73.300331820001105</v>
      </c>
      <c r="P33" s="7">
        <f t="shared" si="6"/>
        <v>2165.6907982666271</v>
      </c>
      <c r="Q33" s="8">
        <f t="shared" si="7"/>
        <v>-0.19499782054404896</v>
      </c>
      <c r="R33" s="9">
        <f t="shared" si="10"/>
        <v>0.20800000000000005</v>
      </c>
      <c r="S33" s="8">
        <f t="shared" si="8"/>
        <v>9.5366641918379287</v>
      </c>
      <c r="T33" s="8"/>
      <c r="W33" s="1" t="s">
        <v>14</v>
      </c>
      <c r="X33" s="8"/>
    </row>
    <row r="34" spans="13:24" x14ac:dyDescent="0.2">
      <c r="M34" s="3"/>
      <c r="N34" s="3"/>
      <c r="O34" s="7">
        <f t="shared" si="9"/>
        <v>75.300331820001105</v>
      </c>
      <c r="P34" s="7">
        <f t="shared" si="6"/>
        <v>2308.9492054448829</v>
      </c>
      <c r="Q34" s="8">
        <f t="shared" si="7"/>
        <v>-0.21861809688776107</v>
      </c>
      <c r="R34" s="9">
        <f t="shared" si="10"/>
        <v>0.21000000000000005</v>
      </c>
      <c r="S34" s="8">
        <f t="shared" si="8"/>
        <v>7.7847314434401369</v>
      </c>
      <c r="T34" s="8"/>
      <c r="U34" s="24">
        <v>1</v>
      </c>
      <c r="V34" s="25">
        <f>B4</f>
        <v>0.16</v>
      </c>
      <c r="W34" s="26">
        <f t="shared" ref="W34:W36" si="14">V34^2</f>
        <v>2.5600000000000001E-2</v>
      </c>
      <c r="X34" s="8"/>
    </row>
    <row r="35" spans="13:24" x14ac:dyDescent="0.2">
      <c r="M35" s="3"/>
      <c r="N35" s="3"/>
      <c r="O35" s="7">
        <f t="shared" si="9"/>
        <v>77.300331820001105</v>
      </c>
      <c r="P35" s="7">
        <f t="shared" si="6"/>
        <v>2457.0095991412109</v>
      </c>
      <c r="Q35" s="8">
        <f t="shared" si="7"/>
        <v>-0.24301905727608036</v>
      </c>
      <c r="R35" s="9">
        <f t="shared" si="10"/>
        <v>0.21200000000000005</v>
      </c>
      <c r="S35" s="8">
        <f t="shared" si="8"/>
        <v>6.0083923584834054</v>
      </c>
      <c r="T35" s="8"/>
      <c r="U35" s="27">
        <v>1</v>
      </c>
      <c r="V35" s="28">
        <f>B5</f>
        <v>0.18</v>
      </c>
      <c r="W35" s="29">
        <f t="shared" si="14"/>
        <v>3.2399999999999998E-2</v>
      </c>
      <c r="X35" s="8"/>
    </row>
    <row r="36" spans="13:24" ht="12" thickBot="1" x14ac:dyDescent="0.25">
      <c r="M36" s="3"/>
      <c r="N36" s="3"/>
      <c r="O36" s="7">
        <f t="shared" si="9"/>
        <v>79.300331820001105</v>
      </c>
      <c r="P36" s="7">
        <f t="shared" si="6"/>
        <v>2609.8719793556111</v>
      </c>
      <c r="Q36" s="8">
        <f t="shared" si="7"/>
        <v>-0.26820070170900673</v>
      </c>
      <c r="R36" s="9">
        <f t="shared" si="10"/>
        <v>0.21400000000000005</v>
      </c>
      <c r="S36" s="8">
        <f t="shared" si="8"/>
        <v>4.2076469369676914</v>
      </c>
      <c r="T36" s="8"/>
      <c r="U36" s="30">
        <v>1</v>
      </c>
      <c r="V36" s="31">
        <f>B6</f>
        <v>0.2</v>
      </c>
      <c r="W36" s="32">
        <f t="shared" si="14"/>
        <v>4.0000000000000008E-2</v>
      </c>
      <c r="X36" s="8"/>
    </row>
    <row r="37" spans="13:24" x14ac:dyDescent="0.2">
      <c r="M37" s="3"/>
      <c r="N37" s="3"/>
      <c r="O37" s="7">
        <f t="shared" si="9"/>
        <v>81.300331820001105</v>
      </c>
      <c r="P37" s="7">
        <f t="shared" si="6"/>
        <v>2767.5363460880835</v>
      </c>
      <c r="Q37" s="8">
        <f t="shared" si="7"/>
        <v>-0.29416303018654039</v>
      </c>
      <c r="R37" s="9">
        <f t="shared" si="10"/>
        <v>0.21600000000000005</v>
      </c>
      <c r="S37" s="8">
        <f t="shared" si="8"/>
        <v>2.3824951788930804</v>
      </c>
      <c r="T37" s="8"/>
      <c r="U37" s="8"/>
      <c r="V37" s="8"/>
      <c r="W37" s="8"/>
      <c r="X37" s="8"/>
    </row>
    <row r="38" spans="13:24" ht="12" thickBot="1" x14ac:dyDescent="0.25">
      <c r="M38" s="3"/>
      <c r="N38" s="3"/>
      <c r="O38" s="7">
        <f t="shared" si="9"/>
        <v>83.300331820001105</v>
      </c>
      <c r="P38" s="7">
        <f t="shared" si="6"/>
        <v>2930.0026993386291</v>
      </c>
      <c r="Q38" s="8">
        <f t="shared" si="7"/>
        <v>-0.32090604270868123</v>
      </c>
      <c r="R38" s="9">
        <f t="shared" si="10"/>
        <v>0.21800000000000005</v>
      </c>
      <c r="S38" s="8">
        <f t="shared" si="8"/>
        <v>0.53293708425952957</v>
      </c>
      <c r="T38" s="8"/>
      <c r="U38" s="8"/>
      <c r="V38" s="8"/>
      <c r="W38" s="16" t="s">
        <v>41</v>
      </c>
      <c r="X38" s="8"/>
    </row>
    <row r="39" spans="13:24" x14ac:dyDescent="0.2">
      <c r="M39" s="3"/>
      <c r="N39" s="3"/>
      <c r="O39" s="7">
        <f t="shared" si="9"/>
        <v>85.300331820001105</v>
      </c>
      <c r="P39" s="7">
        <f t="shared" si="6"/>
        <v>3097.2710391072478</v>
      </c>
      <c r="Q39" s="8">
        <f t="shared" si="7"/>
        <v>-0.34842973927542914</v>
      </c>
      <c r="R39" s="9">
        <f t="shared" si="10"/>
        <v>0.22000000000000006</v>
      </c>
      <c r="S39" s="8">
        <f t="shared" si="8"/>
        <v>-1.341027346932961</v>
      </c>
      <c r="T39" s="8"/>
      <c r="U39" s="17" t="s">
        <v>32</v>
      </c>
      <c r="V39" s="18">
        <f t="array" ref="V39:V41">MMULT(MINVERSE(MMULT(TRANSPOSE(U34:W36),U34:W36)),MMULT(TRANSPOSE(U34:W36),W39:W41))</f>
        <v>58.479072413407266</v>
      </c>
      <c r="W39" s="19">
        <f>N4</f>
        <v>44.261149185772489</v>
      </c>
      <c r="X39" s="8"/>
    </row>
    <row r="40" spans="13:24" x14ac:dyDescent="0.2">
      <c r="M40" s="3"/>
      <c r="N40" s="3"/>
      <c r="O40" s="7">
        <f t="shared" si="9"/>
        <v>87.300331820001105</v>
      </c>
      <c r="P40" s="7">
        <f t="shared" si="6"/>
        <v>3269.3413653939378</v>
      </c>
      <c r="Q40" s="8">
        <f t="shared" si="7"/>
        <v>-0.3767341198867844</v>
      </c>
      <c r="R40" s="9">
        <f t="shared" si="10"/>
        <v>0.22200000000000006</v>
      </c>
      <c r="S40" s="8">
        <f t="shared" si="8"/>
        <v>-3.2393981146843913</v>
      </c>
      <c r="T40" s="8"/>
      <c r="U40" s="17" t="s">
        <v>33</v>
      </c>
      <c r="V40" s="18">
        <v>399.26471100561321</v>
      </c>
      <c r="W40" s="20">
        <f>N5</f>
        <v>31.50105733084445</v>
      </c>
      <c r="X40" s="8"/>
    </row>
    <row r="41" spans="13:24" ht="12" thickBot="1" x14ac:dyDescent="0.25">
      <c r="M41" s="3"/>
      <c r="N41" s="3"/>
      <c r="O41" s="7">
        <f t="shared" si="9"/>
        <v>89.300331820001105</v>
      </c>
      <c r="P41" s="7">
        <f t="shared" si="6"/>
        <v>3446.213678198701</v>
      </c>
      <c r="Q41" s="8">
        <f t="shared" si="7"/>
        <v>-0.40581918454274679</v>
      </c>
      <c r="R41" s="9">
        <f t="shared" si="10"/>
        <v>0.22400000000000006</v>
      </c>
      <c r="S41" s="8">
        <f t="shared" si="8"/>
        <v>-5.162175218994733</v>
      </c>
      <c r="T41" s="8"/>
      <c r="U41" s="17" t="s">
        <v>34</v>
      </c>
      <c r="V41" s="18">
        <v>-3050.7920698672533</v>
      </c>
      <c r="W41" s="22">
        <f>N6</f>
        <v>16.300331820001109</v>
      </c>
      <c r="X41" s="8"/>
    </row>
    <row r="42" spans="13:24" ht="12" thickBot="1" x14ac:dyDescent="0.25">
      <c r="M42" s="3"/>
      <c r="N42" s="3"/>
      <c r="O42" s="7">
        <f t="shared" si="9"/>
        <v>91.300331820001105</v>
      </c>
      <c r="P42" s="7">
        <f t="shared" si="6"/>
        <v>3627.8879775215373</v>
      </c>
      <c r="Q42" s="8">
        <f t="shared" si="7"/>
        <v>-0.43568493324331636</v>
      </c>
      <c r="R42" s="9">
        <f t="shared" si="10"/>
        <v>0.22600000000000006</v>
      </c>
      <c r="S42" s="8">
        <f t="shared" si="8"/>
        <v>-7.1093586598640428</v>
      </c>
      <c r="T42" s="8"/>
      <c r="U42" s="8"/>
      <c r="V42" s="8"/>
      <c r="W42" s="8"/>
      <c r="X42" s="8"/>
    </row>
    <row r="43" spans="13:24" x14ac:dyDescent="0.2">
      <c r="M43" s="3"/>
      <c r="N43" s="3"/>
      <c r="O43" s="7">
        <f t="shared" si="9"/>
        <v>93.300331820001105</v>
      </c>
      <c r="P43" s="7">
        <f t="shared" si="6"/>
        <v>3814.364263362444</v>
      </c>
      <c r="Q43" s="8">
        <f t="shared" si="7"/>
        <v>-0.4663313659884929</v>
      </c>
      <c r="R43" s="9">
        <f t="shared" si="10"/>
        <v>0.22800000000000006</v>
      </c>
      <c r="S43" s="8">
        <f t="shared" si="8"/>
        <v>-9.0809484372922924</v>
      </c>
      <c r="T43" s="8"/>
      <c r="U43" s="4">
        <v>1</v>
      </c>
      <c r="V43" s="5">
        <f>G4</f>
        <v>626.67258842433796</v>
      </c>
      <c r="W43" s="6">
        <f t="shared" ref="W43:W45" si="15">V43^2</f>
        <v>392718.5330824597</v>
      </c>
      <c r="X43" s="8"/>
    </row>
    <row r="44" spans="13:24" x14ac:dyDescent="0.2">
      <c r="M44" s="3"/>
      <c r="N44" s="3"/>
      <c r="O44" s="7">
        <f t="shared" si="9"/>
        <v>95.300331820001105</v>
      </c>
      <c r="P44" s="7">
        <f t="shared" si="6"/>
        <v>4005.6425357214257</v>
      </c>
      <c r="Q44" s="8">
        <f t="shared" si="7"/>
        <v>-0.49775848277827683</v>
      </c>
      <c r="R44" s="9">
        <f t="shared" si="10"/>
        <v>0.23000000000000007</v>
      </c>
      <c r="S44" s="8">
        <f t="shared" si="8"/>
        <v>-11.076944551279453</v>
      </c>
      <c r="T44" s="8"/>
      <c r="U44" s="10">
        <v>1</v>
      </c>
      <c r="V44" s="11">
        <f>G5</f>
        <v>270.5634032562221</v>
      </c>
      <c r="W44" s="12">
        <f t="shared" si="15"/>
        <v>73204.55518158905</v>
      </c>
      <c r="X44" s="8"/>
    </row>
    <row r="45" spans="13:24" ht="12" thickBot="1" x14ac:dyDescent="0.25">
      <c r="M45" s="3"/>
      <c r="N45" s="3"/>
      <c r="O45" s="7">
        <f t="shared" si="9"/>
        <v>97.300331820001105</v>
      </c>
      <c r="P45" s="7">
        <f t="shared" si="6"/>
        <v>4201.7227945984787</v>
      </c>
      <c r="Q45" s="8">
        <f t="shared" si="7"/>
        <v>-0.52996628361266795</v>
      </c>
      <c r="R45" s="9">
        <f t="shared" si="10"/>
        <v>0.23200000000000007</v>
      </c>
      <c r="S45" s="8">
        <f t="shared" si="8"/>
        <v>-13.097347001825582</v>
      </c>
      <c r="T45" s="8"/>
      <c r="U45" s="13">
        <v>1</v>
      </c>
      <c r="V45" s="14">
        <f>G6</f>
        <v>101.46127622108328</v>
      </c>
      <c r="W45" s="15">
        <f t="shared" si="15"/>
        <v>10294.390572410959</v>
      </c>
      <c r="X45" s="8"/>
    </row>
    <row r="46" spans="13:24" x14ac:dyDescent="0.2">
      <c r="M46" s="3"/>
      <c r="N46" s="3"/>
      <c r="O46" s="7">
        <f t="shared" si="9"/>
        <v>99.300331820001105</v>
      </c>
      <c r="P46" s="7">
        <f t="shared" si="6"/>
        <v>4402.6050399936039</v>
      </c>
      <c r="Q46" s="8">
        <f t="shared" si="7"/>
        <v>-0.56295476849166626</v>
      </c>
      <c r="R46" s="9">
        <f t="shared" si="10"/>
        <v>0.23400000000000007</v>
      </c>
      <c r="S46" s="8">
        <f t="shared" si="8"/>
        <v>-15.142155788930651</v>
      </c>
      <c r="T46" s="8"/>
      <c r="U46" s="8"/>
      <c r="V46" s="8"/>
      <c r="W46" s="8"/>
      <c r="X46" s="8"/>
    </row>
    <row r="47" spans="13:24" x14ac:dyDescent="0.2">
      <c r="M47" s="3"/>
      <c r="N47" s="3"/>
      <c r="O47" s="7">
        <f t="shared" si="9"/>
        <v>101.30033182000111</v>
      </c>
      <c r="P47" s="7">
        <f t="shared" si="6"/>
        <v>4608.2892719068022</v>
      </c>
      <c r="Q47" s="8">
        <f t="shared" si="7"/>
        <v>-0.59672393741527174</v>
      </c>
      <c r="R47" s="9">
        <f t="shared" si="10"/>
        <v>0.23600000000000007</v>
      </c>
      <c r="S47" s="8">
        <f t="shared" si="8"/>
        <v>-17.211370912594631</v>
      </c>
      <c r="T47" s="8"/>
      <c r="U47" s="8"/>
      <c r="V47" s="8"/>
      <c r="W47" s="16"/>
      <c r="X47" s="8"/>
    </row>
    <row r="48" spans="13:24" x14ac:dyDescent="0.2">
      <c r="M48" s="3"/>
      <c r="N48" s="3"/>
      <c r="O48" s="7">
        <f t="shared" si="9"/>
        <v>103.30033182000111</v>
      </c>
      <c r="P48" s="7">
        <f t="shared" si="6"/>
        <v>4818.7754903380728</v>
      </c>
      <c r="Q48" s="8">
        <f t="shared" si="7"/>
        <v>-0.63127379038348441</v>
      </c>
      <c r="R48" s="9">
        <f t="shared" si="10"/>
        <v>0.23800000000000007</v>
      </c>
      <c r="S48" s="8">
        <f t="shared" si="8"/>
        <v>-19.304992372817551</v>
      </c>
      <c r="T48" s="8"/>
      <c r="U48" s="17" t="s">
        <v>32</v>
      </c>
      <c r="V48" s="18">
        <f t="array" ref="V48:V50">MMULT(MINVERSE(MMULT(TRANSPOSE(U43:W45),U43:W45)),MMULT(TRANSPOSE(U43:W45),W39:W41))</f>
        <v>4.3543530905258194</v>
      </c>
      <c r="W48" s="33"/>
      <c r="X48" s="8"/>
    </row>
    <row r="49" spans="13:24" x14ac:dyDescent="0.2">
      <c r="M49" s="3"/>
      <c r="N49" s="3"/>
      <c r="O49" s="7">
        <f t="shared" si="9"/>
        <v>105.30033182000111</v>
      </c>
      <c r="P49" s="7">
        <f t="shared" si="6"/>
        <v>5034.0636952874156</v>
      </c>
      <c r="Q49" s="8">
        <f t="shared" si="7"/>
        <v>-0.66660432739630404</v>
      </c>
      <c r="R49" s="9">
        <f t="shared" si="10"/>
        <v>0.24000000000000007</v>
      </c>
      <c r="S49" s="8">
        <f t="shared" si="8"/>
        <v>-21.423020169599411</v>
      </c>
      <c r="U49" s="17" t="s">
        <v>33</v>
      </c>
      <c r="V49" s="18">
        <v>0.12818247510260949</v>
      </c>
      <c r="W49" s="33"/>
      <c r="X49" s="8"/>
    </row>
    <row r="50" spans="13:24" x14ac:dyDescent="0.2">
      <c r="U50" s="17" t="s">
        <v>34</v>
      </c>
      <c r="V50" s="18">
        <v>-1.0292778150975714E-4</v>
      </c>
      <c r="W50" s="33"/>
    </row>
  </sheetData>
  <printOptions gridLinesSet="0"/>
  <pageMargins left="0.5" right="0.5" top="1" bottom="1" header="0.5" footer="0.5"/>
  <pageSetup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"R" Value Data</vt:lpstr>
      <vt:lpstr>Chart1</vt:lpstr>
      <vt:lpstr>Chart2</vt:lpstr>
      <vt:lpstr>Expansion_Points</vt:lpstr>
      <vt:lpstr>Exudation_Points</vt:lpstr>
      <vt:lpstr>Moisture</vt:lpstr>
      <vt:lpstr>'"R" Value Data'!Print_Area</vt:lpstr>
      <vt:lpstr>R_Value</vt:lpstr>
    </vt:vector>
  </TitlesOfParts>
  <Company>Spears Engineering &amp; Technical Services, 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 Value</dc:title>
  <dc:subject/>
  <dc:creator>Don C. Warrington</dc:creator>
  <cp:keywords/>
  <dc:description/>
  <cp:lastModifiedBy>Don C. Warrington</cp:lastModifiedBy>
  <dcterms:created xsi:type="dcterms:W3CDTF">2010-11-09T15:01:27Z</dcterms:created>
  <dcterms:modified xsi:type="dcterms:W3CDTF">2010-11-09T15:01:27Z</dcterms:modified>
  <cp:category>Spreadsheet</cp:category>
</cp:coreProperties>
</file>