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30" yWindow="150" windowWidth="11940" windowHeight="7950"/>
  </bookViews>
  <sheets>
    <sheet name="Constant Head Permeability" sheetId="1" r:id="rId1"/>
    <sheet name="Falling Head Permeability" sheetId="2" r:id="rId2"/>
  </sheets>
  <definedNames>
    <definedName name="Length">'Falling Head Permeability'!$C$5</definedName>
    <definedName name="_xlnm.Print_Area" localSheetId="0">'Constant Head Permeability'!$A$1:$H$45</definedName>
    <definedName name="Sample_Area">'Falling Head Permeability'!$C$4</definedName>
    <definedName name="Standpipe_Area">'Falling Head Permeability'!$C$3</definedName>
  </definedNames>
  <calcPr calcId="144525"/>
</workbook>
</file>

<file path=xl/calcChain.xml><?xml version="1.0" encoding="utf-8"?>
<calcChain xmlns="http://schemas.openxmlformats.org/spreadsheetml/2006/main">
  <c r="G9" i="1" l="1"/>
  <c r="G11" i="1"/>
  <c r="G13" i="1"/>
  <c r="G15" i="1"/>
  <c r="C17" i="1"/>
  <c r="C18" i="1"/>
  <c r="C22" i="1"/>
  <c r="C27" i="1"/>
  <c r="C28" i="1"/>
  <c r="D30" i="1"/>
  <c r="E30" i="1"/>
  <c r="F30" i="1"/>
  <c r="G30" i="1"/>
  <c r="H30" i="1"/>
  <c r="D32" i="1"/>
  <c r="E32" i="1"/>
  <c r="F32" i="1"/>
  <c r="G32" i="1"/>
  <c r="H32" i="1"/>
  <c r="D34" i="1"/>
  <c r="E34" i="1"/>
  <c r="F34" i="1"/>
  <c r="G34" i="1"/>
  <c r="H34" i="1"/>
  <c r="C36" i="1"/>
  <c r="D36" i="1"/>
  <c r="E36" i="1"/>
  <c r="F36" i="1"/>
  <c r="G36" i="1"/>
  <c r="H36" i="1"/>
  <c r="C37" i="1"/>
  <c r="D37" i="1"/>
  <c r="E37" i="1"/>
  <c r="F37" i="1"/>
  <c r="G37" i="1"/>
  <c r="H37" i="1"/>
  <c r="C38" i="1"/>
  <c r="D38" i="1"/>
  <c r="E38" i="1"/>
  <c r="F38" i="1"/>
  <c r="G38" i="1"/>
  <c r="H38" i="1"/>
  <c r="C39" i="1"/>
  <c r="D39" i="1"/>
  <c r="E39" i="1"/>
  <c r="F39" i="1"/>
  <c r="G39" i="1"/>
  <c r="H39" i="1"/>
  <c r="C41" i="1"/>
  <c r="D41" i="1"/>
  <c r="E41" i="1"/>
  <c r="F41" i="1"/>
  <c r="G41" i="1"/>
  <c r="H41" i="1"/>
  <c r="C42" i="1"/>
  <c r="D42" i="1"/>
  <c r="E42" i="1"/>
  <c r="F42" i="1"/>
  <c r="G42" i="1"/>
  <c r="H42" i="1"/>
  <c r="C44" i="1"/>
  <c r="C3" i="2"/>
  <c r="C4" i="2"/>
  <c r="C11" i="2"/>
  <c r="D11" i="2"/>
  <c r="E11" i="2"/>
  <c r="F11" i="2"/>
  <c r="C13" i="2"/>
</calcChain>
</file>

<file path=xl/sharedStrings.xml><?xml version="1.0" encoding="utf-8"?>
<sst xmlns="http://schemas.openxmlformats.org/spreadsheetml/2006/main" count="94" uniqueCount="90">
  <si>
    <t>Date Received:</t>
  </si>
  <si>
    <t>Sample #:</t>
  </si>
  <si>
    <t>Sample ID:</t>
  </si>
  <si>
    <t>Source:</t>
  </si>
  <si>
    <t>PERMEABILITY OF FINE GRAINED SOILS</t>
  </si>
  <si>
    <t xml:space="preserve">ASTM D 5084, "Measurement of Hydraulic Conductivity of Saturated </t>
  </si>
  <si>
    <t xml:space="preserve">Porous Materials using a Flexible Wall Permeameter"  Method A </t>
  </si>
  <si>
    <t>Average</t>
  </si>
  <si>
    <r>
      <t>A</t>
    </r>
    <r>
      <rPr>
        <b/>
        <vertAlign val="subscript"/>
        <sz val="9"/>
        <rFont val="Times New Roman"/>
        <family val="1"/>
      </rPr>
      <t>i</t>
    </r>
  </si>
  <si>
    <t>Initial Height of Sample (inches):</t>
  </si>
  <si>
    <r>
      <t>A</t>
    </r>
    <r>
      <rPr>
        <b/>
        <vertAlign val="subscript"/>
        <sz val="9"/>
        <rFont val="Times New Roman"/>
        <family val="1"/>
      </rPr>
      <t>f</t>
    </r>
  </si>
  <si>
    <t>Final Height of Sample (inches):</t>
  </si>
  <si>
    <r>
      <t>B</t>
    </r>
    <r>
      <rPr>
        <b/>
        <vertAlign val="subscript"/>
        <sz val="9"/>
        <rFont val="Times New Roman"/>
        <family val="1"/>
      </rPr>
      <t>i</t>
    </r>
  </si>
  <si>
    <t xml:space="preserve"> Initial Diameter of Sample (inches):</t>
  </si>
  <si>
    <r>
      <t>B</t>
    </r>
    <r>
      <rPr>
        <b/>
        <vertAlign val="subscript"/>
        <sz val="9"/>
        <rFont val="Times New Roman"/>
        <family val="1"/>
      </rPr>
      <t>f</t>
    </r>
  </si>
  <si>
    <t xml:space="preserve"> Final Diameter of Sample (inches):</t>
  </si>
  <si>
    <t>C</t>
  </si>
  <si>
    <r>
      <t>Area of Sample [ 3.1416 x B</t>
    </r>
    <r>
      <rPr>
        <vertAlign val="superscript"/>
        <sz val="9"/>
        <rFont val="Times New Roman"/>
        <family val="1"/>
      </rPr>
      <t>2</t>
    </r>
    <r>
      <rPr>
        <sz val="9"/>
        <rFont val="Times New Roman"/>
        <family val="1"/>
      </rPr>
      <t xml:space="preserve"> / 4 ]:</t>
    </r>
  </si>
  <si>
    <r>
      <t>in</t>
    </r>
    <r>
      <rPr>
        <vertAlign val="superscript"/>
        <sz val="9"/>
        <rFont val="Times New Roman"/>
        <family val="1"/>
      </rPr>
      <t>2</t>
    </r>
  </si>
  <si>
    <t>D</t>
  </si>
  <si>
    <t>Area of Sample [ C x 6.452 ]:</t>
  </si>
  <si>
    <r>
      <t>cm</t>
    </r>
    <r>
      <rPr>
        <vertAlign val="superscript"/>
        <sz val="9"/>
        <rFont val="Times New Roman"/>
        <family val="1"/>
      </rPr>
      <t>2</t>
    </r>
  </si>
  <si>
    <t>E</t>
  </si>
  <si>
    <t>Cell Pressure:</t>
  </si>
  <si>
    <t xml:space="preserve">psi  </t>
  </si>
  <si>
    <t>F</t>
  </si>
  <si>
    <t>Upper Cap Pressure:</t>
  </si>
  <si>
    <t>psi</t>
  </si>
  <si>
    <t>G</t>
  </si>
  <si>
    <t>Lower Cap Pressure:</t>
  </si>
  <si>
    <t>H</t>
  </si>
  <si>
    <t>Loss of Head [( F - G ) / 0.036 x 2.54]:</t>
  </si>
  <si>
    <t>cm</t>
  </si>
  <si>
    <t>I</t>
  </si>
  <si>
    <t>Maximum Dry Density:</t>
  </si>
  <si>
    <r>
      <t>lbs/ft</t>
    </r>
    <r>
      <rPr>
        <vertAlign val="superscript"/>
        <sz val="9"/>
        <rFont val="Times New Roman"/>
        <family val="1"/>
      </rPr>
      <t>3</t>
    </r>
  </si>
  <si>
    <t>J</t>
  </si>
  <si>
    <t>Optimum % Moisture:</t>
  </si>
  <si>
    <t>K</t>
  </si>
  <si>
    <t>Weight of Sample:</t>
  </si>
  <si>
    <t>grams</t>
  </si>
  <si>
    <t>L</t>
  </si>
  <si>
    <t>Sample % Moisture:</t>
  </si>
  <si>
    <t>M</t>
  </si>
  <si>
    <t>Dry Density [K/(AxC)x3.8095x(1+L/100)]:</t>
  </si>
  <si>
    <t>N</t>
  </si>
  <si>
    <t>Sample % Compaction [M/Ix100]:</t>
  </si>
  <si>
    <t>#1</t>
  </si>
  <si>
    <t>#2</t>
  </si>
  <si>
    <t>#3</t>
  </si>
  <si>
    <t>#4</t>
  </si>
  <si>
    <t>#5</t>
  </si>
  <si>
    <t>#6</t>
  </si>
  <si>
    <t>O</t>
  </si>
  <si>
    <t>Initial Inlet Burette Reading:</t>
  </si>
  <si>
    <t>P</t>
  </si>
  <si>
    <t>Final Inlet Burette Reading:</t>
  </si>
  <si>
    <t>Q</t>
  </si>
  <si>
    <t>Initial Outlet Burette Reading:</t>
  </si>
  <si>
    <t>R</t>
  </si>
  <si>
    <t>Final Outlet Burette Reading:</t>
  </si>
  <si>
    <t>S</t>
  </si>
  <si>
    <t>Initial Reading Time:</t>
  </si>
  <si>
    <t>T</t>
  </si>
  <si>
    <t>Final Reading Time:</t>
  </si>
  <si>
    <t>U</t>
  </si>
  <si>
    <t>Elapsed Time [T-S] (H:M:S):</t>
  </si>
  <si>
    <t>V</t>
  </si>
  <si>
    <t>Elapsed Time (seconds)</t>
  </si>
  <si>
    <t>W</t>
  </si>
  <si>
    <t>Inlet Flow [P-O]:</t>
  </si>
  <si>
    <t>X</t>
  </si>
  <si>
    <t>Outlet Flow [R-Q] (should be * 5 % of W):</t>
  </si>
  <si>
    <t>Y</t>
  </si>
  <si>
    <t>Temperature (*C):</t>
  </si>
  <si>
    <t>Z</t>
  </si>
  <si>
    <t>Correction Factor [ -0.02452 x Y + 1.495 ]:</t>
  </si>
  <si>
    <t>Permeability [(A x W x 2.54) / (D x H x V) x Z]:</t>
  </si>
  <si>
    <t>Average Permeability (cm/s):</t>
  </si>
  <si>
    <t>cm/s</t>
  </si>
  <si>
    <t>Area of Standpipe Readings, a :</t>
  </si>
  <si>
    <r>
      <t>cm</t>
    </r>
    <r>
      <rPr>
        <vertAlign val="superscript"/>
        <sz val="10"/>
        <rFont val="Times New Roman"/>
        <family val="1"/>
      </rPr>
      <t>2</t>
    </r>
    <r>
      <rPr>
        <sz val="10"/>
        <rFont val="Times New Roman"/>
        <family val="1"/>
      </rPr>
      <t xml:space="preserve"> </t>
    </r>
  </si>
  <si>
    <t>Area of Sample, A :</t>
  </si>
  <si>
    <t>Height of travel thru Sample, L :</t>
  </si>
  <si>
    <r>
      <t>Height of Initial Head, h</t>
    </r>
    <r>
      <rPr>
        <vertAlign val="subscript"/>
        <sz val="10"/>
        <rFont val="Times New Roman"/>
        <family val="1"/>
      </rPr>
      <t>1</t>
    </r>
    <r>
      <rPr>
        <sz val="10"/>
        <rFont val="Times New Roman"/>
        <family val="1"/>
      </rPr>
      <t xml:space="preserve"> (cm):</t>
    </r>
  </si>
  <si>
    <r>
      <t>Height of Final Head, h</t>
    </r>
    <r>
      <rPr>
        <vertAlign val="subscript"/>
        <sz val="10"/>
        <rFont val="Times New Roman"/>
        <family val="1"/>
      </rPr>
      <t>2</t>
    </r>
    <r>
      <rPr>
        <sz val="10"/>
        <rFont val="Times New Roman"/>
        <family val="1"/>
      </rPr>
      <t xml:space="preserve"> (cm):</t>
    </r>
  </si>
  <si>
    <t>Time, t (seconds):</t>
  </si>
  <si>
    <r>
      <t>Permeability</t>
    </r>
    <r>
      <rPr>
        <sz val="10"/>
        <rFont val="Times New Roman"/>
        <family val="1"/>
      </rPr>
      <t>, k (cm/s) =</t>
    </r>
  </si>
  <si>
    <r>
      <t>k = (a x L) / (A x t) x LN (h</t>
    </r>
    <r>
      <rPr>
        <vertAlign val="subscript"/>
        <sz val="10"/>
        <rFont val="Times New Roman"/>
        <family val="1"/>
      </rPr>
      <t>1</t>
    </r>
    <r>
      <rPr>
        <sz val="10"/>
        <rFont val="Times New Roman"/>
        <family val="1"/>
      </rPr>
      <t xml:space="preserve"> / h</t>
    </r>
    <r>
      <rPr>
        <vertAlign val="subscript"/>
        <sz val="10"/>
        <rFont val="Times New Roman"/>
        <family val="1"/>
      </rPr>
      <t>2</t>
    </r>
    <r>
      <rPr>
        <sz val="10"/>
        <rFont val="Times New Roman"/>
        <family val="1"/>
      </rPr>
      <t xml:space="preserve">) </t>
    </r>
  </si>
  <si>
    <t>Average Permeability, k (cm/s)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</si>
</sst>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#,##0.000"/>
    <numFmt numFmtId="165" formatCode="0.0\ %"/>
    <numFmt numFmtId="166" formatCode="#,##0.0"/>
    <numFmt numFmtId="168" formatCode="0.000\ E+00"/>
    <numFmt numFmtId="169" formatCode="0\ %"/>
    <numFmt numFmtId="170" formatCode="mmm\ d\,\ yy"/>
    <numFmt numFmtId="172" formatCode="0.0"/>
    <numFmt numFmtId="173" formatCode="0.00\ E+00"/>
  </numFmts>
  <fonts count="13" x14ac:knownFonts="1">
    <font>
      <sz val="10"/>
      <name val="Times New Roman"/>
    </font>
    <font>
      <b/>
      <sz val="10"/>
      <name val="Times New Roman"/>
    </font>
    <font>
      <b/>
      <sz val="9"/>
      <name val="Times New Roman"/>
      <family val="1"/>
    </font>
    <font>
      <sz val="9"/>
      <name val="Times New Roman"/>
      <family val="1"/>
    </font>
    <font>
      <vertAlign val="superscript"/>
      <sz val="9"/>
      <name val="Times New Roman"/>
      <family val="1"/>
    </font>
    <font>
      <b/>
      <vertAlign val="subscript"/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name val="Arial"/>
    </font>
    <font>
      <sz val="10"/>
      <name val="Times New Roman"/>
      <family val="1"/>
    </font>
    <font>
      <vertAlign val="superscript"/>
      <sz val="10"/>
      <name val="Times New Roman"/>
      <family val="1"/>
    </font>
    <font>
      <vertAlign val="subscript"/>
      <sz val="10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/>
  </cellStyleXfs>
  <cellXfs count="37">
    <xf numFmtId="0" fontId="0" fillId="0" borderId="0" xfId="0"/>
    <xf numFmtId="0" fontId="2" fillId="0" borderId="0" xfId="0" applyFont="1" applyAlignment="1" applyProtection="1">
      <alignment horizontal="right"/>
    </xf>
    <xf numFmtId="0" fontId="3" fillId="0" borderId="0" xfId="0" applyFont="1"/>
    <xf numFmtId="0" fontId="3" fillId="0" borderId="0" xfId="0" applyFont="1" applyProtection="1"/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right"/>
    </xf>
    <xf numFmtId="164" fontId="3" fillId="0" borderId="0" xfId="0" applyNumberFormat="1" applyFont="1" applyAlignment="1" applyProtection="1">
      <alignment horizontal="center"/>
      <protection locked="0"/>
    </xf>
    <xf numFmtId="164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  <protection locked="0"/>
    </xf>
    <xf numFmtId="165" fontId="3" fillId="0" borderId="0" xfId="0" applyNumberFormat="1" applyFont="1" applyAlignment="1" applyProtection="1">
      <alignment horizontal="center"/>
      <protection locked="0"/>
    </xf>
    <xf numFmtId="166" fontId="3" fillId="0" borderId="0" xfId="0" applyNumberFormat="1" applyFont="1" applyAlignment="1" applyProtection="1">
      <alignment horizontal="center"/>
    </xf>
    <xf numFmtId="165" fontId="3" fillId="0" borderId="0" xfId="0" applyNumberFormat="1" applyFont="1" applyAlignment="1" applyProtection="1">
      <alignment horizontal="center"/>
    </xf>
    <xf numFmtId="0" fontId="2" fillId="0" borderId="0" xfId="0" applyFont="1" applyProtection="1"/>
    <xf numFmtId="19" fontId="3" fillId="0" borderId="0" xfId="0" applyNumberFormat="1" applyFont="1" applyAlignment="1" applyProtection="1">
      <alignment horizontal="center"/>
      <protection locked="0"/>
    </xf>
    <xf numFmtId="19" fontId="3" fillId="0" borderId="0" xfId="0" applyNumberFormat="1" applyFont="1" applyAlignment="1" applyProtection="1">
      <alignment horizontal="center"/>
    </xf>
    <xf numFmtId="21" fontId="3" fillId="0" borderId="0" xfId="0" applyNumberFormat="1" applyFont="1" applyAlignment="1" applyProtection="1">
      <alignment horizontal="center"/>
    </xf>
    <xf numFmtId="168" fontId="3" fillId="0" borderId="0" xfId="0" applyNumberFormat="1" applyFont="1" applyAlignment="1" applyProtection="1">
      <alignment horizontal="center"/>
    </xf>
    <xf numFmtId="168" fontId="2" fillId="0" borderId="0" xfId="0" applyNumberFormat="1" applyFont="1" applyProtection="1"/>
    <xf numFmtId="168" fontId="3" fillId="0" borderId="0" xfId="0" applyNumberFormat="1" applyFont="1" applyProtection="1"/>
    <xf numFmtId="4" fontId="2" fillId="0" borderId="0" xfId="0" applyNumberFormat="1" applyFont="1" applyAlignment="1" applyProtection="1">
      <alignment horizontal="center"/>
    </xf>
    <xf numFmtId="1" fontId="3" fillId="0" borderId="0" xfId="0" applyNumberFormat="1" applyFont="1" applyProtection="1"/>
    <xf numFmtId="2" fontId="3" fillId="0" borderId="0" xfId="0" applyNumberFormat="1" applyFont="1" applyProtection="1"/>
    <xf numFmtId="169" fontId="6" fillId="0" borderId="0" xfId="0" applyNumberFormat="1" applyFont="1" applyBorder="1" applyAlignment="1" applyProtection="1">
      <alignment horizontal="right"/>
      <protection hidden="1"/>
    </xf>
    <xf numFmtId="170" fontId="7" fillId="2" borderId="0" xfId="0" applyNumberFormat="1" applyFont="1" applyFill="1" applyAlignment="1" applyProtection="1">
      <alignment horizontal="left"/>
      <protection locked="0" hidden="1"/>
    </xf>
    <xf numFmtId="0" fontId="7" fillId="2" borderId="0" xfId="0" applyFont="1" applyFill="1" applyAlignment="1" applyProtection="1">
      <alignment horizontal="left"/>
      <protection locked="0" hidden="1"/>
    </xf>
    <xf numFmtId="0" fontId="2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9" fillId="0" borderId="0" xfId="1" applyFont="1"/>
    <xf numFmtId="0" fontId="9" fillId="0" borderId="0" xfId="1" applyFont="1" applyAlignment="1">
      <alignment horizontal="right"/>
    </xf>
    <xf numFmtId="2" fontId="9" fillId="0" borderId="0" xfId="1" applyNumberFormat="1" applyFont="1"/>
    <xf numFmtId="0" fontId="9" fillId="0" borderId="0" xfId="0" applyFont="1"/>
    <xf numFmtId="172" fontId="9" fillId="0" borderId="0" xfId="1" applyNumberFormat="1" applyFont="1"/>
    <xf numFmtId="173" fontId="9" fillId="0" borderId="0" xfId="1" applyNumberFormat="1" applyFont="1"/>
    <xf numFmtId="0" fontId="12" fillId="0" borderId="0" xfId="1" applyFont="1" applyAlignment="1">
      <alignment horizontal="right"/>
    </xf>
    <xf numFmtId="173" fontId="12" fillId="0" borderId="0" xfId="1" applyNumberFormat="1" applyFont="1"/>
    <xf numFmtId="0" fontId="1" fillId="0" borderId="0" xfId="1" applyFont="1" applyAlignment="1">
      <alignment horizontal="right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showGridLines="0" showZeros="0" tabSelected="1" workbookViewId="0">
      <selection activeCell="C1" sqref="C1:C4"/>
    </sheetView>
  </sheetViews>
  <sheetFormatPr defaultRowHeight="12" x14ac:dyDescent="0.2"/>
  <cols>
    <col min="1" max="1" width="5.83203125" style="4" customWidth="1"/>
    <col min="2" max="2" width="35.83203125" style="3" customWidth="1"/>
    <col min="3" max="8" width="12.83203125" style="3" customWidth="1"/>
    <col min="9" max="9" width="6.83203125" style="3" customWidth="1"/>
    <col min="10" max="16384" width="9.33203125" style="3"/>
  </cols>
  <sheetData>
    <row r="1" spans="1:7" x14ac:dyDescent="0.2">
      <c r="B1" s="23" t="s">
        <v>0</v>
      </c>
      <c r="C1" s="24"/>
      <c r="E1" s="2"/>
      <c r="F1" s="6"/>
    </row>
    <row r="2" spans="1:7" x14ac:dyDescent="0.2">
      <c r="B2" s="23" t="s">
        <v>1</v>
      </c>
      <c r="C2" s="25"/>
      <c r="E2" s="2"/>
      <c r="F2" s="6"/>
    </row>
    <row r="3" spans="1:7" x14ac:dyDescent="0.2">
      <c r="B3" s="23" t="s">
        <v>2</v>
      </c>
      <c r="C3" s="25"/>
      <c r="E3" s="2"/>
      <c r="F3" s="6"/>
    </row>
    <row r="4" spans="1:7" x14ac:dyDescent="0.2">
      <c r="B4" s="23" t="s">
        <v>3</v>
      </c>
      <c r="C4" s="25"/>
      <c r="E4" s="2"/>
      <c r="F4" s="6"/>
    </row>
    <row r="5" spans="1:7" x14ac:dyDescent="0.2">
      <c r="B5" s="26" t="s">
        <v>4</v>
      </c>
      <c r="C5" s="4"/>
      <c r="E5" s="2"/>
      <c r="F5" s="6"/>
    </row>
    <row r="6" spans="1:7" x14ac:dyDescent="0.2">
      <c r="B6" s="27" t="s">
        <v>5</v>
      </c>
      <c r="C6" s="5"/>
      <c r="E6" s="2"/>
      <c r="F6" s="6"/>
    </row>
    <row r="7" spans="1:7" x14ac:dyDescent="0.2">
      <c r="B7" s="27" t="s">
        <v>6</v>
      </c>
      <c r="C7" s="5"/>
      <c r="E7" s="2"/>
      <c r="F7" s="6"/>
    </row>
    <row r="8" spans="1:7" x14ac:dyDescent="0.2">
      <c r="G8" s="4" t="s">
        <v>7</v>
      </c>
    </row>
    <row r="9" spans="1:7" ht="13.5" x14ac:dyDescent="0.25">
      <c r="A9" s="4" t="s">
        <v>8</v>
      </c>
      <c r="B9" s="6" t="s">
        <v>9</v>
      </c>
      <c r="C9" s="7">
        <v>3.077</v>
      </c>
      <c r="D9" s="7">
        <v>3.073</v>
      </c>
      <c r="E9" s="7">
        <v>3.0720000000000001</v>
      </c>
      <c r="F9" s="7">
        <v>3.0670000000000002</v>
      </c>
      <c r="G9" s="8">
        <f>AVERAGE(C9:F9)</f>
        <v>3.0722500000000004</v>
      </c>
    </row>
    <row r="10" spans="1:7" x14ac:dyDescent="0.2">
      <c r="B10" s="6"/>
      <c r="C10" s="8"/>
      <c r="D10" s="8"/>
      <c r="E10" s="8"/>
      <c r="F10" s="8"/>
      <c r="G10" s="8"/>
    </row>
    <row r="11" spans="1:7" ht="13.5" x14ac:dyDescent="0.25">
      <c r="A11" s="4" t="s">
        <v>10</v>
      </c>
      <c r="B11" s="6" t="s">
        <v>11</v>
      </c>
      <c r="C11" s="7">
        <v>0</v>
      </c>
      <c r="D11" s="7">
        <v>0</v>
      </c>
      <c r="E11" s="7">
        <v>0</v>
      </c>
      <c r="F11" s="7">
        <v>0</v>
      </c>
      <c r="G11" s="8">
        <f>AVERAGE(C11:F11)</f>
        <v>0</v>
      </c>
    </row>
    <row r="12" spans="1:7" x14ac:dyDescent="0.2">
      <c r="B12" s="6"/>
      <c r="C12" s="8"/>
      <c r="D12" s="8"/>
      <c r="E12" s="8"/>
      <c r="F12" s="8"/>
      <c r="G12" s="8"/>
    </row>
    <row r="13" spans="1:7" ht="13.5" x14ac:dyDescent="0.25">
      <c r="A13" s="4" t="s">
        <v>12</v>
      </c>
      <c r="B13" s="6" t="s">
        <v>13</v>
      </c>
      <c r="C13" s="7">
        <v>2.5009999999999999</v>
      </c>
      <c r="D13" s="7">
        <v>2.5</v>
      </c>
      <c r="E13" s="7">
        <v>2.5</v>
      </c>
      <c r="F13" s="7">
        <v>2.5009999999999999</v>
      </c>
      <c r="G13" s="8">
        <f>AVERAGE(C13:F13)</f>
        <v>2.5004999999999997</v>
      </c>
    </row>
    <row r="14" spans="1:7" x14ac:dyDescent="0.2">
      <c r="B14" s="6"/>
      <c r="C14" s="8"/>
      <c r="D14" s="8"/>
      <c r="E14" s="8"/>
      <c r="F14" s="8"/>
      <c r="G14" s="8"/>
    </row>
    <row r="15" spans="1:7" ht="13.5" x14ac:dyDescent="0.25">
      <c r="A15" s="4" t="s">
        <v>14</v>
      </c>
      <c r="B15" s="6" t="s">
        <v>15</v>
      </c>
      <c r="C15" s="7">
        <v>0</v>
      </c>
      <c r="D15" s="7">
        <v>0</v>
      </c>
      <c r="E15" s="7">
        <v>0</v>
      </c>
      <c r="F15" s="7">
        <v>0</v>
      </c>
      <c r="G15" s="8">
        <f>AVERAGE(C15:F15)</f>
        <v>0</v>
      </c>
    </row>
    <row r="17" spans="1:9" ht="13.5" x14ac:dyDescent="0.2">
      <c r="A17" s="4" t="s">
        <v>16</v>
      </c>
      <c r="B17" s="6" t="s">
        <v>17</v>
      </c>
      <c r="C17" s="5">
        <f>ROUND(PI()*G13^2/4,3)</f>
        <v>4.9109999999999996</v>
      </c>
      <c r="D17" s="3" t="s">
        <v>18</v>
      </c>
      <c r="E17"/>
      <c r="F17"/>
      <c r="G17"/>
      <c r="H17"/>
      <c r="I17"/>
    </row>
    <row r="18" spans="1:9" ht="13.5" x14ac:dyDescent="0.2">
      <c r="A18" s="4" t="s">
        <v>19</v>
      </c>
      <c r="B18" s="6" t="s">
        <v>20</v>
      </c>
      <c r="C18" s="5">
        <f>ROUND(C17*6.452,3)</f>
        <v>31.686</v>
      </c>
      <c r="D18" s="3" t="s">
        <v>21</v>
      </c>
      <c r="E18"/>
      <c r="F18"/>
      <c r="G18"/>
      <c r="H18"/>
      <c r="I18"/>
    </row>
    <row r="19" spans="1:9" ht="12.75" x14ac:dyDescent="0.2">
      <c r="A19" s="4" t="s">
        <v>22</v>
      </c>
      <c r="B19" s="6" t="s">
        <v>23</v>
      </c>
      <c r="C19" s="9">
        <v>22</v>
      </c>
      <c r="D19" s="3" t="s">
        <v>24</v>
      </c>
      <c r="E19"/>
      <c r="F19"/>
      <c r="G19"/>
      <c r="H19"/>
      <c r="I19"/>
    </row>
    <row r="20" spans="1:9" ht="12.75" x14ac:dyDescent="0.2">
      <c r="A20" s="4" t="s">
        <v>25</v>
      </c>
      <c r="B20" s="6" t="s">
        <v>26</v>
      </c>
      <c r="C20" s="9">
        <v>18</v>
      </c>
      <c r="D20" s="3" t="s">
        <v>27</v>
      </c>
      <c r="E20"/>
      <c r="F20"/>
      <c r="G20"/>
      <c r="H20"/>
      <c r="I20"/>
    </row>
    <row r="21" spans="1:9" ht="12.75" x14ac:dyDescent="0.2">
      <c r="A21" s="4" t="s">
        <v>28</v>
      </c>
      <c r="B21" s="6" t="s">
        <v>29</v>
      </c>
      <c r="C21" s="9">
        <v>13</v>
      </c>
      <c r="D21" s="3" t="s">
        <v>27</v>
      </c>
      <c r="E21"/>
      <c r="F21"/>
      <c r="G21"/>
      <c r="H21"/>
      <c r="I21"/>
    </row>
    <row r="22" spans="1:9" ht="12.75" x14ac:dyDescent="0.2">
      <c r="A22" s="4" t="s">
        <v>30</v>
      </c>
      <c r="B22" s="6" t="s">
        <v>31</v>
      </c>
      <c r="C22" s="5">
        <f>ROUND(((C20-C21)/0.036*2.54),2)</f>
        <v>352.78</v>
      </c>
      <c r="D22" s="3" t="s">
        <v>32</v>
      </c>
      <c r="E22"/>
      <c r="F22"/>
      <c r="G22"/>
      <c r="H22"/>
      <c r="I22"/>
    </row>
    <row r="23" spans="1:9" ht="13.5" x14ac:dyDescent="0.2">
      <c r="A23" s="4" t="s">
        <v>33</v>
      </c>
      <c r="B23" s="6" t="s">
        <v>34</v>
      </c>
      <c r="C23" s="9">
        <v>105.5</v>
      </c>
      <c r="D23" s="3" t="s">
        <v>35</v>
      </c>
    </row>
    <row r="24" spans="1:9" x14ac:dyDescent="0.2">
      <c r="A24" s="4" t="s">
        <v>36</v>
      </c>
      <c r="B24" s="6" t="s">
        <v>37</v>
      </c>
      <c r="C24" s="10">
        <v>0.16</v>
      </c>
    </row>
    <row r="25" spans="1:9" x14ac:dyDescent="0.2">
      <c r="A25" s="4" t="s">
        <v>38</v>
      </c>
      <c r="B25" s="6" t="s">
        <v>39</v>
      </c>
      <c r="C25" s="9">
        <v>409.7</v>
      </c>
      <c r="D25" s="3" t="s">
        <v>40</v>
      </c>
    </row>
    <row r="26" spans="1:9" x14ac:dyDescent="0.2">
      <c r="A26" s="4" t="s">
        <v>41</v>
      </c>
      <c r="B26" s="6" t="s">
        <v>42</v>
      </c>
      <c r="C26" s="10">
        <v>0.155</v>
      </c>
    </row>
    <row r="27" spans="1:9" ht="13.5" x14ac:dyDescent="0.2">
      <c r="A27" s="4" t="s">
        <v>43</v>
      </c>
      <c r="B27" s="6" t="s">
        <v>44</v>
      </c>
      <c r="C27" s="11">
        <f>(C25/(G9*C17)*3.8095/(1+C26))</f>
        <v>89.562347984079182</v>
      </c>
      <c r="D27" s="3" t="s">
        <v>35</v>
      </c>
    </row>
    <row r="28" spans="1:9" x14ac:dyDescent="0.2">
      <c r="A28" s="4" t="s">
        <v>45</v>
      </c>
      <c r="B28" s="6" t="s">
        <v>46</v>
      </c>
      <c r="C28" s="12">
        <f>C27/C23</f>
        <v>0.84893220837989747</v>
      </c>
    </row>
    <row r="29" spans="1:9" s="13" customFormat="1" x14ac:dyDescent="0.2">
      <c r="A29" s="4"/>
      <c r="B29" s="1"/>
      <c r="C29" s="4" t="s">
        <v>47</v>
      </c>
      <c r="D29" s="4" t="s">
        <v>48</v>
      </c>
      <c r="E29" s="4" t="s">
        <v>49</v>
      </c>
      <c r="F29" s="4" t="s">
        <v>50</v>
      </c>
      <c r="G29" s="4" t="s">
        <v>51</v>
      </c>
      <c r="H29" s="4" t="s">
        <v>52</v>
      </c>
      <c r="I29" s="4"/>
    </row>
    <row r="30" spans="1:9" x14ac:dyDescent="0.2">
      <c r="A30" s="4" t="s">
        <v>53</v>
      </c>
      <c r="B30" s="6" t="s">
        <v>54</v>
      </c>
      <c r="C30" s="9">
        <v>18.399999999999999</v>
      </c>
      <c r="D30" s="5">
        <f>C31</f>
        <v>31.4</v>
      </c>
      <c r="E30" s="5">
        <f>D31</f>
        <v>38.799999999999997</v>
      </c>
      <c r="F30" s="5">
        <f>E31</f>
        <v>50.6</v>
      </c>
      <c r="G30" s="5">
        <f>F31</f>
        <v>0</v>
      </c>
      <c r="H30" s="5">
        <f>G31</f>
        <v>0</v>
      </c>
      <c r="I30" s="5"/>
    </row>
    <row r="31" spans="1:9" x14ac:dyDescent="0.2">
      <c r="A31" s="4" t="s">
        <v>55</v>
      </c>
      <c r="B31" s="6" t="s">
        <v>56</v>
      </c>
      <c r="C31" s="9">
        <v>31.4</v>
      </c>
      <c r="D31" s="9">
        <v>38.799999999999997</v>
      </c>
      <c r="E31" s="9">
        <v>50.6</v>
      </c>
      <c r="F31" s="9"/>
      <c r="G31" s="9"/>
      <c r="H31" s="9"/>
      <c r="I31" s="5"/>
    </row>
    <row r="32" spans="1:9" x14ac:dyDescent="0.2">
      <c r="A32" s="4" t="s">
        <v>57</v>
      </c>
      <c r="B32" s="6" t="s">
        <v>58</v>
      </c>
      <c r="C32" s="9">
        <v>44.2</v>
      </c>
      <c r="D32" s="5">
        <f>C33</f>
        <v>31.3</v>
      </c>
      <c r="E32" s="5">
        <f>D33</f>
        <v>24</v>
      </c>
      <c r="F32" s="5">
        <f>E33</f>
        <v>12.3</v>
      </c>
      <c r="G32" s="5">
        <f>F33</f>
        <v>0</v>
      </c>
      <c r="H32" s="5">
        <f>G33</f>
        <v>0</v>
      </c>
      <c r="I32" s="5"/>
    </row>
    <row r="33" spans="1:9" x14ac:dyDescent="0.2">
      <c r="A33" s="4" t="s">
        <v>59</v>
      </c>
      <c r="B33" s="6" t="s">
        <v>60</v>
      </c>
      <c r="C33" s="9">
        <v>31.3</v>
      </c>
      <c r="D33" s="9">
        <v>24</v>
      </c>
      <c r="E33" s="9">
        <v>12.3</v>
      </c>
      <c r="F33" s="9"/>
      <c r="G33" s="9"/>
      <c r="H33" s="9"/>
      <c r="I33" s="5"/>
    </row>
    <row r="34" spans="1:9" x14ac:dyDescent="0.2">
      <c r="A34" s="4" t="s">
        <v>61</v>
      </c>
      <c r="B34" s="6" t="s">
        <v>62</v>
      </c>
      <c r="C34" s="14">
        <v>0.4291666666666667</v>
      </c>
      <c r="D34" s="15">
        <f>C35</f>
        <v>0.4604166666666667</v>
      </c>
      <c r="E34" s="15">
        <f>D35</f>
        <v>0.47916666666666669</v>
      </c>
      <c r="F34" s="15">
        <f>E35</f>
        <v>0.51128472222222221</v>
      </c>
      <c r="G34" s="15">
        <f>F35</f>
        <v>0</v>
      </c>
      <c r="H34" s="15">
        <f>G35</f>
        <v>0</v>
      </c>
      <c r="I34" s="5"/>
    </row>
    <row r="35" spans="1:9" x14ac:dyDescent="0.2">
      <c r="A35" s="4" t="s">
        <v>63</v>
      </c>
      <c r="B35" s="6" t="s">
        <v>64</v>
      </c>
      <c r="C35" s="14">
        <v>0.4604166666666667</v>
      </c>
      <c r="D35" s="14">
        <v>0.47916666666666669</v>
      </c>
      <c r="E35" s="14">
        <v>0.51128472222222221</v>
      </c>
      <c r="F35" s="14"/>
      <c r="G35" s="14"/>
      <c r="H35" s="14"/>
      <c r="I35" s="5"/>
    </row>
    <row r="36" spans="1:9" x14ac:dyDescent="0.2">
      <c r="A36" s="4" t="s">
        <v>65</v>
      </c>
      <c r="B36" s="6" t="s">
        <v>66</v>
      </c>
      <c r="C36" s="16">
        <f>C35-C34</f>
        <v>3.125E-2</v>
      </c>
      <c r="D36" s="16">
        <f>IF(D35="","Done",D35-D34)</f>
        <v>1.8749999999999989E-2</v>
      </c>
      <c r="E36" s="16">
        <f>IF(E35="","Done",E35-E34)</f>
        <v>3.2118055555555525E-2</v>
      </c>
      <c r="F36" s="16" t="str">
        <f>IF(F35="","Done",F35-F34)</f>
        <v>Done</v>
      </c>
      <c r="G36" s="16" t="str">
        <f>IF(G35="","Done",G35-G34)</f>
        <v>Done</v>
      </c>
      <c r="H36" s="16" t="str">
        <f>IF(H35="","Done",H35-H34)</f>
        <v>Done</v>
      </c>
      <c r="I36" s="5"/>
    </row>
    <row r="37" spans="1:9" x14ac:dyDescent="0.2">
      <c r="A37" s="4" t="s">
        <v>67</v>
      </c>
      <c r="B37" s="6" t="s">
        <v>68</v>
      </c>
      <c r="C37" s="5">
        <f>(HOUR(C36)*3600)+(MINUTE(C36)*60)+(SECOND(C36))</f>
        <v>2700</v>
      </c>
      <c r="D37" s="5">
        <f>IF(D36="Done","",(HOUR(D36)*3600)+(MINUTE(D36)*60)+(SECOND(D36)))</f>
        <v>1620</v>
      </c>
      <c r="E37" s="5">
        <f>IF(E36="Done","",(HOUR(E36)*3600)+(MINUTE(E36)*60)+(SECOND(E36)))</f>
        <v>2775</v>
      </c>
      <c r="F37" s="5" t="str">
        <f>IF(F36="Done","",(HOUR(F36)*3600)+(MINUTE(F36)*60)+(SECOND(F36)))</f>
        <v/>
      </c>
      <c r="G37" s="5" t="str">
        <f>IF(G36="Done","",(HOUR(G36)*3600)+(MINUTE(G36)*60)+(SECOND(G36)))</f>
        <v/>
      </c>
      <c r="H37" s="5" t="str">
        <f>IF(H36="Done","",(HOUR(H36)*3600)+(MINUTE(H36)*60)+(SECOND(H36)))</f>
        <v/>
      </c>
      <c r="I37" s="5"/>
    </row>
    <row r="38" spans="1:9" x14ac:dyDescent="0.2">
      <c r="A38" s="4" t="s">
        <v>69</v>
      </c>
      <c r="B38" s="6" t="s">
        <v>70</v>
      </c>
      <c r="C38" s="11">
        <f t="shared" ref="C38:H38" si="0">C31-C30</f>
        <v>13</v>
      </c>
      <c r="D38" s="11">
        <f t="shared" si="0"/>
        <v>7.3999999999999986</v>
      </c>
      <c r="E38" s="11">
        <f t="shared" si="0"/>
        <v>11.800000000000004</v>
      </c>
      <c r="F38" s="11">
        <f t="shared" si="0"/>
        <v>-50.6</v>
      </c>
      <c r="G38" s="11">
        <f t="shared" si="0"/>
        <v>0</v>
      </c>
      <c r="H38" s="11">
        <f t="shared" si="0"/>
        <v>0</v>
      </c>
      <c r="I38" s="5"/>
    </row>
    <row r="39" spans="1:9" x14ac:dyDescent="0.2">
      <c r="A39" s="4" t="s">
        <v>71</v>
      </c>
      <c r="B39" s="6" t="s">
        <v>72</v>
      </c>
      <c r="C39" s="11">
        <f t="shared" ref="C39:H39" si="1">C32-C33</f>
        <v>12.900000000000002</v>
      </c>
      <c r="D39" s="11">
        <f t="shared" si="1"/>
        <v>7.3000000000000007</v>
      </c>
      <c r="E39" s="11">
        <f t="shared" si="1"/>
        <v>11.7</v>
      </c>
      <c r="F39" s="11">
        <f t="shared" si="1"/>
        <v>12.3</v>
      </c>
      <c r="G39" s="11">
        <f t="shared" si="1"/>
        <v>0</v>
      </c>
      <c r="H39" s="11">
        <f t="shared" si="1"/>
        <v>0</v>
      </c>
      <c r="I39" s="5"/>
    </row>
    <row r="40" spans="1:9" x14ac:dyDescent="0.2">
      <c r="A40" s="4" t="s">
        <v>73</v>
      </c>
      <c r="B40" s="6" t="s">
        <v>74</v>
      </c>
      <c r="C40" s="9">
        <v>18.8</v>
      </c>
      <c r="D40" s="9">
        <v>18.8</v>
      </c>
      <c r="E40" s="9">
        <v>18.8</v>
      </c>
      <c r="F40" s="9"/>
      <c r="G40" s="9"/>
      <c r="H40" s="9"/>
      <c r="I40" s="5"/>
    </row>
    <row r="41" spans="1:9" x14ac:dyDescent="0.2">
      <c r="A41" s="4" t="s">
        <v>75</v>
      </c>
      <c r="B41" s="6" t="s">
        <v>76</v>
      </c>
      <c r="C41" s="5">
        <f t="shared" ref="C41:H41" si="2">ROUND(-0.02452*C40+1.495,5)</f>
        <v>1.0340199999999999</v>
      </c>
      <c r="D41" s="5">
        <f t="shared" si="2"/>
        <v>1.0340199999999999</v>
      </c>
      <c r="E41" s="5">
        <f t="shared" si="2"/>
        <v>1.0340199999999999</v>
      </c>
      <c r="F41" s="5">
        <f t="shared" si="2"/>
        <v>1.4950000000000001</v>
      </c>
      <c r="G41" s="5">
        <f t="shared" si="2"/>
        <v>1.4950000000000001</v>
      </c>
      <c r="H41" s="5">
        <f t="shared" si="2"/>
        <v>1.4950000000000001</v>
      </c>
      <c r="I41" s="5"/>
    </row>
    <row r="42" spans="1:9" x14ac:dyDescent="0.2">
      <c r="B42" s="6" t="s">
        <v>77</v>
      </c>
      <c r="C42" s="17">
        <f>(($G$9*C38*2.54)/($C$18*$C$22*C37)*C41)</f>
        <v>3.4755810677154661E-6</v>
      </c>
      <c r="D42" s="17">
        <f>IF(D35="","",(($G$9*D38*2.54)/($C$18*$C$22*D37)*D41))</f>
        <v>3.2973461411659542E-6</v>
      </c>
      <c r="E42" s="17">
        <f>IF(E35="","",(($G$9*E38*2.54)/($C$18*$C$22*E37)*E41))</f>
        <v>3.0694944647932034E-6</v>
      </c>
      <c r="F42" s="17" t="str">
        <f>IF(F35="","",(($G$9*F38*2.54)/($C$18*$C$22*F37)*F41))</f>
        <v/>
      </c>
      <c r="G42" s="17" t="str">
        <f>IF(G35="","",(($G$9*G38*2.54)/($C$18*$C$22*G37)*G41))</f>
        <v/>
      </c>
      <c r="H42" s="17" t="str">
        <f>IF(H35="","",(($G$9*H38*2.54)/($C$18*$C$22*H37)*H41))</f>
        <v/>
      </c>
      <c r="I42" s="5"/>
    </row>
    <row r="43" spans="1:9" x14ac:dyDescent="0.2">
      <c r="B43" s="6"/>
      <c r="C43" s="17"/>
      <c r="D43" s="17"/>
      <c r="E43" s="17"/>
      <c r="F43" s="17"/>
      <c r="G43" s="17"/>
      <c r="H43" s="17"/>
      <c r="I43" s="5"/>
    </row>
    <row r="44" spans="1:9" x14ac:dyDescent="0.2">
      <c r="B44" s="1" t="s">
        <v>78</v>
      </c>
      <c r="C44" s="18">
        <f>AVERAGE(C42:H42)</f>
        <v>3.2808072245582078E-6</v>
      </c>
      <c r="D44" s="18" t="s">
        <v>79</v>
      </c>
      <c r="E44" s="19"/>
      <c r="F44" s="19"/>
      <c r="G44" s="19"/>
      <c r="H44" s="19"/>
    </row>
    <row r="45" spans="1:9" x14ac:dyDescent="0.2">
      <c r="C45" s="20"/>
      <c r="D45" s="13"/>
    </row>
    <row r="47" spans="1:9" x14ac:dyDescent="0.2">
      <c r="C47" s="21"/>
    </row>
    <row r="48" spans="1:9" x14ac:dyDescent="0.2">
      <c r="D48" s="22"/>
    </row>
  </sheetData>
  <phoneticPr fontId="0" type="noConversion"/>
  <printOptions gridLinesSet="0"/>
  <pageMargins left="0.5" right="0.5" top="1.5" bottom="0.8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13"/>
  <sheetViews>
    <sheetView showGridLines="0" workbookViewId="0">
      <selection activeCell="C13" sqref="C13"/>
    </sheetView>
  </sheetViews>
  <sheetFormatPr defaultColWidth="10.6640625" defaultRowHeight="14.1" customHeight="1" x14ac:dyDescent="0.2"/>
  <cols>
    <col min="1" max="1" width="10.6640625" style="28"/>
    <col min="2" max="2" width="31.83203125" style="29" customWidth="1"/>
    <col min="3" max="6" width="12.83203125" style="28" customWidth="1"/>
    <col min="7" max="16384" width="10.6640625" style="28"/>
  </cols>
  <sheetData>
    <row r="3" spans="2:6" ht="14.1" customHeight="1" x14ac:dyDescent="0.2">
      <c r="B3" s="29" t="s">
        <v>80</v>
      </c>
      <c r="C3" s="30">
        <f>PI()*(26.9/2)^2</f>
        <v>568.32196501602743</v>
      </c>
      <c r="D3" s="28" t="s">
        <v>81</v>
      </c>
    </row>
    <row r="4" spans="2:6" ht="14.1" customHeight="1" x14ac:dyDescent="0.2">
      <c r="B4" s="29" t="s">
        <v>82</v>
      </c>
      <c r="C4" s="30">
        <f>PI()*(2*2.54)^2</f>
        <v>81.073196655599631</v>
      </c>
      <c r="D4" s="28" t="s">
        <v>81</v>
      </c>
      <c r="E4" s="31"/>
    </row>
    <row r="5" spans="2:6" ht="14.1" customHeight="1" x14ac:dyDescent="0.2">
      <c r="B5" s="29" t="s">
        <v>83</v>
      </c>
      <c r="C5" s="30">
        <v>20.45</v>
      </c>
      <c r="D5" s="28" t="s">
        <v>32</v>
      </c>
    </row>
    <row r="6" spans="2:6" ht="14.1" customHeight="1" x14ac:dyDescent="0.2">
      <c r="B6" s="31"/>
      <c r="C6" s="31"/>
      <c r="D6" s="31"/>
    </row>
    <row r="7" spans="2:6" ht="14.1" customHeight="1" x14ac:dyDescent="0.25">
      <c r="B7" s="29" t="s">
        <v>84</v>
      </c>
      <c r="C7" s="30">
        <v>52.5</v>
      </c>
      <c r="D7" s="30">
        <v>52.5</v>
      </c>
      <c r="E7" s="30">
        <v>52.5</v>
      </c>
      <c r="F7" s="30">
        <v>52.5</v>
      </c>
    </row>
    <row r="8" spans="2:6" ht="14.1" customHeight="1" x14ac:dyDescent="0.25">
      <c r="B8" s="29" t="s">
        <v>85</v>
      </c>
      <c r="C8" s="30">
        <v>52.1</v>
      </c>
      <c r="D8" s="30">
        <v>52.1</v>
      </c>
      <c r="E8" s="30">
        <v>52.1</v>
      </c>
      <c r="F8" s="30">
        <v>52.1</v>
      </c>
    </row>
    <row r="9" spans="2:6" ht="14.1" customHeight="1" x14ac:dyDescent="0.2">
      <c r="B9" s="29" t="s">
        <v>86</v>
      </c>
      <c r="C9" s="32">
        <v>600</v>
      </c>
      <c r="D9" s="32">
        <v>550</v>
      </c>
      <c r="E9" s="32">
        <v>625</v>
      </c>
      <c r="F9" s="32">
        <v>650</v>
      </c>
    </row>
    <row r="11" spans="2:6" ht="14.1" customHeight="1" x14ac:dyDescent="0.2">
      <c r="B11" s="36" t="s">
        <v>87</v>
      </c>
      <c r="C11" s="33">
        <f>(Standpipe_Area*Length)/(Sample_Area*C9)*LN(C7/C8)</f>
        <v>1.8273411134086775E-3</v>
      </c>
      <c r="D11" s="33">
        <f>(Standpipe_Area*Length)/(Sample_Area*D9)*LN(D7/D8)</f>
        <v>1.9934630328094665E-3</v>
      </c>
      <c r="E11" s="33">
        <f>(Standpipe_Area*Length)/(Sample_Area*E9)*LN(E7/E8)</f>
        <v>1.7542474688723303E-3</v>
      </c>
      <c r="F11" s="33">
        <f>(Standpipe_Area*Length)/(Sample_Area*F9)*LN(F7/F8)</f>
        <v>1.6867764123772409E-3</v>
      </c>
    </row>
    <row r="12" spans="2:6" ht="14.1" customHeight="1" x14ac:dyDescent="0.25">
      <c r="B12" s="29" t="s">
        <v>88</v>
      </c>
    </row>
    <row r="13" spans="2:6" ht="14.1" customHeight="1" x14ac:dyDescent="0.2">
      <c r="B13" s="34" t="s">
        <v>89</v>
      </c>
      <c r="C13" s="35">
        <f>AVERAGE(C11:F11)</f>
        <v>1.8154570068669288E-3</v>
      </c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Constant Head Permeability</vt:lpstr>
      <vt:lpstr>Falling Head Permeability</vt:lpstr>
      <vt:lpstr>Length</vt:lpstr>
      <vt:lpstr>'Constant Head Permeability'!Print_Area</vt:lpstr>
      <vt:lpstr>Sample_Area</vt:lpstr>
      <vt:lpstr>Standpipe_Area</vt:lpstr>
    </vt:vector>
  </TitlesOfParts>
  <Company>Spears Engineering &amp; Technical Services, 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Permeability</dc:title>
  <dc:creator>Don C. Warrington</dc:creator>
  <cp:lastModifiedBy>Don C. Warrington</cp:lastModifiedBy>
  <dcterms:created xsi:type="dcterms:W3CDTF">1996-01-18T01:22:49Z</dcterms:created>
  <dcterms:modified xsi:type="dcterms:W3CDTF">2010-11-09T14:51:41Z</dcterms:modified>
  <cp:category>Spreadsheet</cp:category>
</cp:coreProperties>
</file>